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审核通过" sheetId="9" r:id="rId1"/>
    <sheet name="明细表" sheetId="4" state="hidden" r:id="rId2"/>
    <sheet name="Sheet1" sheetId="7" state="hidden" r:id="rId3"/>
    <sheet name="区域代码" sheetId="5" state="hidden" r:id="rId4"/>
    <sheet name="区域代码 不打印" sheetId="6" state="hidden" r:id="rId5"/>
  </sheets>
  <definedNames>
    <definedName name="_xlnm._FilterDatabase" localSheetId="0" hidden="1">审核通过!$A$4:$R$44</definedName>
    <definedName name="_xlnm._FilterDatabase" localSheetId="1" hidden="1">明细表!$A$3:$W$43</definedName>
    <definedName name="_xlnm.Print_Area" localSheetId="1">明细表!$A$1:$I$44</definedName>
    <definedName name="_xlnm.Print_Titles" localSheetId="1">明细表!$1:$6</definedName>
    <definedName name="_xlnm.Print_Area" localSheetId="0">审核通过!$A$1:$I$44</definedName>
    <definedName name="_xlnm.Print_Titles" localSheetId="0">审核通过!$2:$7</definedName>
  </definedNames>
  <calcPr calcId="144525"/>
</workbook>
</file>

<file path=xl/sharedStrings.xml><?xml version="1.0" encoding="utf-8"?>
<sst xmlns="http://schemas.openxmlformats.org/spreadsheetml/2006/main" count="442" uniqueCount="129">
  <si>
    <t>附件</t>
  </si>
  <si>
    <t>支持企业参加境内国际性展会项目补助资金拨付明细表</t>
  </si>
  <si>
    <t>金额单位：人民币元</t>
  </si>
  <si>
    <t>序号</t>
  </si>
  <si>
    <t>所属区域</t>
  </si>
  <si>
    <t>企业名称</t>
  </si>
  <si>
    <t>展会名称</t>
  </si>
  <si>
    <t>实际展位
单价
（每平方米）</t>
  </si>
  <si>
    <t>展位
面积</t>
  </si>
  <si>
    <r>
      <rPr>
        <b/>
        <sz val="10"/>
        <rFont val="宋体"/>
        <charset val="134"/>
      </rPr>
      <t>展位费
金额</t>
    </r>
  </si>
  <si>
    <t>支持比例（隐藏)</t>
  </si>
  <si>
    <t>支持金额</t>
  </si>
  <si>
    <t>合计</t>
  </si>
  <si>
    <t>滨海新区小计</t>
  </si>
  <si>
    <t>滨海新区</t>
  </si>
  <si>
    <t>天津市沃达汽车电子有限公司</t>
  </si>
  <si>
    <t>法兰克福（成都）国际汽车零配件展览会</t>
  </si>
  <si>
    <t>天津市利民调料有限公司</t>
  </si>
  <si>
    <t>中国国际消费品博览会</t>
  </si>
  <si>
    <t>天津王朝国际酒业有限公司</t>
  </si>
  <si>
    <t>天津酒分享文化传播有限公司</t>
  </si>
  <si>
    <t>天津市同业科技发展有限公司</t>
  </si>
  <si>
    <t>中国国际医疗器械博览会</t>
  </si>
  <si>
    <t>美德太平洋（天津）生物科技股份有限公司</t>
  </si>
  <si>
    <t>天津华鸿科技股份有限公司</t>
  </si>
  <si>
    <t>天津森迪恒生科技发展有限公司</t>
  </si>
  <si>
    <t>天津市富集科技有限公司</t>
  </si>
  <si>
    <t>天津迈达医学科技股份有限公司</t>
  </si>
  <si>
    <t>天津哈娜好医材有限公司</t>
  </si>
  <si>
    <t>河东区小计</t>
  </si>
  <si>
    <t>河东区</t>
  </si>
  <si>
    <t>天津医药集团众健康达医疗器械有限公司</t>
  </si>
  <si>
    <t>河西区小计</t>
  </si>
  <si>
    <t>河西区</t>
  </si>
  <si>
    <t>天津市隆兴集团有限公司</t>
  </si>
  <si>
    <t>东丽区小计</t>
  </si>
  <si>
    <t>东丽区</t>
  </si>
  <si>
    <t>天津欣越良品国际贸易有限公司</t>
  </si>
  <si>
    <t>津南区小计</t>
  </si>
  <si>
    <t>津南区</t>
  </si>
  <si>
    <t>天津奥斯博格科技有限公司</t>
  </si>
  <si>
    <t>天津市天宇胶管股份有限公司</t>
  </si>
  <si>
    <t>亚美斯特（天津）医疗器械有限公司</t>
  </si>
  <si>
    <t>天津市蓝航医疗科技有限公司</t>
  </si>
  <si>
    <t>北辰区小计</t>
  </si>
  <si>
    <t>北辰区</t>
  </si>
  <si>
    <t>天津市泰瑞博思医疗器械有限公司</t>
  </si>
  <si>
    <t>天津立锋工贸发展有限公司</t>
  </si>
  <si>
    <t>天津广大纸业股份有限公司</t>
  </si>
  <si>
    <t>武清区小计</t>
  </si>
  <si>
    <t>武清区</t>
  </si>
  <si>
    <t>天津凯利地毯有限公司</t>
  </si>
  <si>
    <t>中国国际地面材料及铺装技术展览会</t>
  </si>
  <si>
    <t>天津绣梦地毯有限公司</t>
  </si>
  <si>
    <t>法拉达汽车散热器（天津）有限公司</t>
  </si>
  <si>
    <t>天津雅文地毯有限公司</t>
  </si>
  <si>
    <t>天津泽昊地毯有限公司</t>
  </si>
  <si>
    <t>天津市普光医用材料制造有限公司</t>
  </si>
  <si>
    <t>天津中冠地毯有限公司</t>
  </si>
  <si>
    <t>静海区小计</t>
  </si>
  <si>
    <t>静海区</t>
  </si>
  <si>
    <t>瑞安森（天津）医疗器械有限公司</t>
  </si>
  <si>
    <t>蓟州区小计</t>
  </si>
  <si>
    <t>蓟州区</t>
  </si>
  <si>
    <t>天津乔夫工艺品股份有限公司</t>
  </si>
  <si>
    <r>
      <rPr>
        <b/>
        <sz val="14"/>
        <rFont val="Arial Narrow"/>
        <charset val="134"/>
      </rPr>
      <t>2022</t>
    </r>
    <r>
      <rPr>
        <b/>
        <sz val="14"/>
        <rFont val="宋体"/>
        <charset val="134"/>
      </rPr>
      <t>年天津市支持企业参加境内国际性展会项目审核明细表</t>
    </r>
  </si>
  <si>
    <t>缺少上年出口实绩，无法确定申报门槛，等李毅梅回复</t>
  </si>
  <si>
    <t>建议支持
金额</t>
  </si>
  <si>
    <t>21年出口数</t>
  </si>
  <si>
    <t>备注</t>
  </si>
  <si>
    <t>档案序号</t>
  </si>
  <si>
    <t>区域代码</t>
  </si>
  <si>
    <t>1通过 2不通过</t>
  </si>
  <si>
    <t>老字号</t>
  </si>
  <si>
    <t>没有对外贸易经营者备案登记表</t>
  </si>
  <si>
    <t>自主品牌</t>
  </si>
  <si>
    <t>少3840银行回单，原因是上年有尾款，补说明即可（在事务所</t>
  </si>
  <si>
    <t>天津华易科技发展有限公司</t>
  </si>
  <si>
    <t>天津市普瑞仪器有限公司</t>
  </si>
  <si>
    <t>天津海明医疗用品有限公司</t>
  </si>
  <si>
    <t>天津市赛盟医疗科技有限公司</t>
  </si>
  <si>
    <t>天津市康贝科技有限公司</t>
  </si>
  <si>
    <t>中瀚云邦（天津）医疗科技发展有限公司</t>
  </si>
  <si>
    <t>天津佐藤环保机械有限公司</t>
  </si>
  <si>
    <t>和平区</t>
  </si>
  <si>
    <t>天津医药集团众健康达医疗科技有限公司</t>
  </si>
  <si>
    <t>天津市三木记录纸厂</t>
  </si>
  <si>
    <t>天津桂发祥十八街麻花食品股份有限公司</t>
  </si>
  <si>
    <t>老字号+自主品牌</t>
  </si>
  <si>
    <t>天津迈科思医疗科技发展有限公司</t>
  </si>
  <si>
    <t>南开区</t>
  </si>
  <si>
    <t>天津富方光电科技发展有限公司</t>
  </si>
  <si>
    <t>天津市汇田电工技术有限公司</t>
  </si>
  <si>
    <t>红桥区</t>
  </si>
  <si>
    <t>天津市麦迪克医用器材有限公司</t>
  </si>
  <si>
    <t>西青区</t>
  </si>
  <si>
    <t>鼎佳（天津）汽车电子有限公司</t>
  </si>
  <si>
    <t>源博（天津）医疗科技发展有限公司</t>
  </si>
  <si>
    <t>天津三延精密机械有限公司</t>
  </si>
  <si>
    <t>天津康美图云医医疗器械科技有限公司</t>
  </si>
  <si>
    <t>天津蓝蛇伟业医疗器械有限公司</t>
  </si>
  <si>
    <t>天津圣润地毯有限公司</t>
  </si>
  <si>
    <t>天津伊丹尔地毯有限公司</t>
  </si>
  <si>
    <t>没人接电话18526692188陈刚/6.6打占线 实付4w，合同4.0239 99.41%</t>
  </si>
  <si>
    <t>天津伊鸣工艺品有限公司</t>
  </si>
  <si>
    <t>天津市鸿年地毯有限公司</t>
  </si>
  <si>
    <t>天津原羚进出口贸易有限公司</t>
  </si>
  <si>
    <r>
      <rPr>
        <sz val="10"/>
        <rFont val="宋体"/>
        <charset val="134"/>
      </rPr>
      <t>缺少5</t>
    </r>
    <r>
      <rPr>
        <sz val="10"/>
        <rFont val="宋体"/>
        <charset val="134"/>
      </rPr>
      <t>440银行回单，</t>
    </r>
    <r>
      <rPr>
        <sz val="10"/>
        <rFont val="宋体"/>
        <charset val="134"/>
      </rPr>
      <t>可能无法提供</t>
    </r>
  </si>
  <si>
    <t>天津正丽亚地毯有限公司</t>
  </si>
  <si>
    <t>天津博硕倍生物科技有限公司</t>
  </si>
  <si>
    <t>天津通达地毯有限公司</t>
  </si>
  <si>
    <t>天津天博纺织品有限公司</t>
  </si>
  <si>
    <t>ok缺少1750银行回单，企业放弃</t>
  </si>
  <si>
    <t>天津爱睿泽地毯有限公司</t>
  </si>
  <si>
    <t>天津市武清区兴洋机械制造有限公司</t>
  </si>
  <si>
    <t>少2560银行回单，原因是上年有尾款，补说明即可（在小溪</t>
  </si>
  <si>
    <t>天津帝诺地毯有限公司</t>
  </si>
  <si>
    <t>宝坻区</t>
  </si>
  <si>
    <t>安泰天龙钨钼科技有限公司</t>
  </si>
  <si>
    <t>北京·埃森焊接与切割展览会</t>
  </si>
  <si>
    <t>不通过：展会未召开，照片为效果图，无实际参展图</t>
  </si>
  <si>
    <t>天津世纪金辉医用设备有限公司</t>
  </si>
  <si>
    <t>天津市富华纸制品有限公司</t>
  </si>
  <si>
    <t>﻿2062912</t>
  </si>
  <si>
    <t>.</t>
  </si>
  <si>
    <t>﻿110167</t>
  </si>
  <si>
    <t>﻿82615</t>
  </si>
  <si>
    <t>河北区</t>
  </si>
  <si>
    <t>宁河区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</si>
</sst>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2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 Narrow"/>
      <charset val="134"/>
    </font>
    <font>
      <b/>
      <sz val="14"/>
      <name val="Arial Narrow"/>
      <charset val="134"/>
    </font>
    <font>
      <sz val="11"/>
      <name val="Arial Narrow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 Narrow"/>
      <charset val="134"/>
    </font>
    <font>
      <b/>
      <sz val="10"/>
      <name val="Arial Narrow"/>
      <charset val="134"/>
    </font>
    <font>
      <sz val="9"/>
      <color theme="1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b/>
      <sz val="16"/>
      <name val="Arial Narrow"/>
      <charset val="134"/>
    </font>
    <font>
      <sz val="10"/>
      <color theme="1"/>
      <name val="宋体"/>
      <charset val="134"/>
    </font>
    <font>
      <sz val="10"/>
      <color theme="1"/>
      <name val="Arial Narrow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/>
    <xf numFmtId="0" fontId="26" fillId="25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30" fillId="9" borderId="6" applyNumberFormat="false" applyAlignment="false" applyProtection="false">
      <alignment vertical="center"/>
    </xf>
    <xf numFmtId="0" fontId="33" fillId="17" borderId="9" applyNumberFormat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5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5" fillId="30" borderId="11" applyNumberFormat="false" applyFon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40" fillId="28" borderId="0" applyNumberFormat="false" applyBorder="false" applyAlignment="false" applyProtection="false">
      <alignment vertical="center"/>
    </xf>
    <xf numFmtId="0" fontId="41" fillId="9" borderId="4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</cellStyleXfs>
  <cellXfs count="119">
    <xf numFmtId="0" fontId="0" fillId="0" borderId="0" xfId="0"/>
    <xf numFmtId="0" fontId="1" fillId="0" borderId="1" xfId="0" applyFont="true" applyBorder="true"/>
    <xf numFmtId="0" fontId="1" fillId="0" borderId="2" xfId="0" applyFont="true" applyFill="true" applyBorder="true"/>
    <xf numFmtId="0" fontId="2" fillId="0" borderId="1" xfId="0" applyNumberFormat="true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vertical="center"/>
    </xf>
    <xf numFmtId="0" fontId="3" fillId="0" borderId="1" xfId="0" applyNumberFormat="true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vertical="center"/>
    </xf>
    <xf numFmtId="0" fontId="5" fillId="0" borderId="0" xfId="1">
      <alignment vertical="center"/>
    </xf>
    <xf numFmtId="0" fontId="6" fillId="0" borderId="1" xfId="0" applyFont="true" applyBorder="true" applyAlignment="true">
      <alignment horizontal="left" vertical="center"/>
    </xf>
    <xf numFmtId="0" fontId="0" fillId="0" borderId="1" xfId="0" applyBorder="true"/>
    <xf numFmtId="0" fontId="0" fillId="0" borderId="1" xfId="0" applyBorder="true" applyAlignment="true">
      <alignment vertical="center"/>
    </xf>
    <xf numFmtId="0" fontId="0" fillId="0" borderId="0" xfId="0" applyFont="true"/>
    <xf numFmtId="0" fontId="0" fillId="0" borderId="1" xfId="0" applyBorder="true" applyAlignment="true">
      <alignment wrapText="true"/>
    </xf>
    <xf numFmtId="0" fontId="7" fillId="0" borderId="1" xfId="0" applyFont="true" applyBorder="true" applyAlignment="true">
      <alignment horizontal="left" vertical="center"/>
    </xf>
    <xf numFmtId="0" fontId="0" fillId="0" borderId="1" xfId="0" applyFont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9" fillId="2" borderId="0" xfId="0" applyFont="true" applyFill="true" applyBorder="true" applyAlignment="true">
      <alignment vertical="center"/>
    </xf>
    <xf numFmtId="0" fontId="8" fillId="2" borderId="0" xfId="0" applyFont="true" applyFill="true" applyBorder="true" applyAlignment="true">
      <alignment vertical="center"/>
    </xf>
    <xf numFmtId="0" fontId="9" fillId="3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43" fontId="9" fillId="0" borderId="0" xfId="24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43" fontId="10" fillId="0" borderId="0" xfId="24" applyNumberFormat="true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left" vertical="center"/>
    </xf>
    <xf numFmtId="0" fontId="11" fillId="0" borderId="0" xfId="0" applyNumberFormat="true" applyFont="true" applyFill="true" applyAlignment="true">
      <alignment horizontal="center" vertical="center" wrapText="true"/>
    </xf>
    <xf numFmtId="0" fontId="12" fillId="0" borderId="0" xfId="0" applyNumberFormat="true" applyFont="true" applyFill="true" applyAlignment="true">
      <alignment horizontal="center" vertical="center"/>
    </xf>
    <xf numFmtId="0" fontId="12" fillId="0" borderId="0" xfId="0" applyNumberFormat="true" applyFont="true" applyFill="true" applyAlignment="true">
      <alignment horizontal="left" vertical="center"/>
    </xf>
    <xf numFmtId="0" fontId="12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1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left" vertical="center"/>
    </xf>
    <xf numFmtId="0" fontId="13" fillId="2" borderId="1" xfId="0" applyFont="true" applyFill="true" applyBorder="true" applyAlignment="true">
      <alignment horizontal="left" vertical="center"/>
    </xf>
    <xf numFmtId="43" fontId="15" fillId="0" borderId="0" xfId="24" applyNumberFormat="true" applyFont="true" applyFill="true" applyAlignment="true">
      <alignment horizontal="center" vertical="center"/>
    </xf>
    <xf numFmtId="43" fontId="12" fillId="0" borderId="0" xfId="24" applyNumberFormat="true" applyFont="true" applyFill="true" applyAlignment="true">
      <alignment horizontal="center" vertical="center"/>
    </xf>
    <xf numFmtId="9" fontId="12" fillId="0" borderId="0" xfId="0" applyNumberFormat="true" applyFont="true" applyFill="true" applyAlignment="true">
      <alignment horizontal="center" vertical="center"/>
    </xf>
    <xf numFmtId="43" fontId="4" fillId="0" borderId="1" xfId="24" applyNumberFormat="true" applyFont="true" applyFill="true" applyBorder="true" applyAlignment="true">
      <alignment horizontal="center" vertical="center" wrapText="true"/>
    </xf>
    <xf numFmtId="43" fontId="16" fillId="0" borderId="1" xfId="24" applyNumberFormat="true" applyFont="true" applyFill="true" applyBorder="true" applyAlignment="true">
      <alignment horizontal="center" vertical="center" wrapText="true"/>
    </xf>
    <xf numFmtId="43" fontId="15" fillId="0" borderId="1" xfId="24" applyNumberFormat="true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43" fontId="15" fillId="0" borderId="1" xfId="24" applyNumberFormat="true" applyFont="true" applyFill="true" applyBorder="true" applyAlignment="true">
      <alignment vertical="center"/>
    </xf>
    <xf numFmtId="9" fontId="15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43" fontId="16" fillId="0" borderId="1" xfId="24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43" fontId="16" fillId="0" borderId="1" xfId="24" applyNumberFormat="true" applyFont="true" applyFill="true" applyBorder="true" applyAlignment="true">
      <alignment vertical="center"/>
    </xf>
    <xf numFmtId="9" fontId="16" fillId="0" borderId="1" xfId="0" applyNumberFormat="true" applyFont="true" applyFill="true" applyBorder="true" applyAlignment="true">
      <alignment horizontal="center" vertical="center" wrapText="true"/>
    </xf>
    <xf numFmtId="43" fontId="15" fillId="0" borderId="1" xfId="24" applyNumberFormat="true" applyFont="true" applyFill="true" applyBorder="true" applyAlignment="true">
      <alignment horizontal="right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43" fontId="15" fillId="2" borderId="1" xfId="24" applyNumberFormat="true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43" fontId="15" fillId="2" borderId="1" xfId="24" applyNumberFormat="true" applyFont="true" applyFill="true" applyBorder="true" applyAlignment="true">
      <alignment vertical="center"/>
    </xf>
    <xf numFmtId="9" fontId="15" fillId="2" borderId="1" xfId="0" applyNumberFormat="true" applyFont="true" applyFill="true" applyBorder="true" applyAlignment="true">
      <alignment horizontal="center" vertical="center" wrapText="true"/>
    </xf>
    <xf numFmtId="43" fontId="3" fillId="0" borderId="0" xfId="0" applyNumberFormat="true" applyFont="true" applyFill="true" applyAlignment="true">
      <alignment horizontal="right"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vertical="center"/>
    </xf>
    <xf numFmtId="0" fontId="4" fillId="0" borderId="3" xfId="0" applyNumberFormat="true" applyFont="true" applyFill="true" applyBorder="true" applyAlignment="true">
      <alignment vertical="center" wrapText="true"/>
    </xf>
    <xf numFmtId="43" fontId="4" fillId="0" borderId="0" xfId="0" applyNumberFormat="true" applyFont="true" applyFill="true" applyBorder="true" applyAlignment="true">
      <alignment vertical="center"/>
    </xf>
    <xf numFmtId="43" fontId="15" fillId="0" borderId="1" xfId="0" applyNumberFormat="true" applyFont="true" applyFill="true" applyBorder="true" applyAlignment="true">
      <alignment horizontal="center" vertical="center" wrapText="true"/>
    </xf>
    <xf numFmtId="43" fontId="15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/>
    </xf>
    <xf numFmtId="43" fontId="15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43" fontId="16" fillId="0" borderId="0" xfId="0" applyNumberFormat="true" applyFont="true" applyFill="true" applyBorder="true" applyAlignment="true">
      <alignment horizontal="center" vertical="center" wrapText="true"/>
    </xf>
    <xf numFmtId="43" fontId="15" fillId="3" borderId="1" xfId="0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left" vertical="center"/>
    </xf>
    <xf numFmtId="0" fontId="4" fillId="2" borderId="3" xfId="0" applyNumberFormat="true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43" fontId="9" fillId="0" borderId="0" xfId="0" applyNumberFormat="true" applyFont="true" applyFill="true" applyBorder="true" applyAlignment="true">
      <alignment vertical="center"/>
    </xf>
    <xf numFmtId="43" fontId="9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 wrapText="true"/>
    </xf>
    <xf numFmtId="43" fontId="8" fillId="0" borderId="0" xfId="0" applyNumberFormat="true" applyFont="true" applyFill="true" applyBorder="true" applyAlignment="true">
      <alignment horizontal="center" vertical="center"/>
    </xf>
    <xf numFmtId="43" fontId="9" fillId="2" borderId="0" xfId="0" applyNumberFormat="true" applyFont="true" applyFill="true" applyBorder="true" applyAlignment="true">
      <alignment horizontal="center" vertical="center"/>
    </xf>
    <xf numFmtId="43" fontId="8" fillId="2" borderId="0" xfId="0" applyNumberFormat="true" applyFont="true" applyFill="true" applyBorder="true" applyAlignment="true">
      <alignment horizontal="center" vertical="center"/>
    </xf>
    <xf numFmtId="43" fontId="9" fillId="2" borderId="0" xfId="0" applyNumberFormat="true" applyFont="true" applyFill="true" applyBorder="true" applyAlignment="true">
      <alignment vertical="center"/>
    </xf>
    <xf numFmtId="0" fontId="3" fillId="2" borderId="0" xfId="0" applyFont="true" applyFill="true" applyBorder="true" applyAlignment="true">
      <alignment horizontal="center" vertical="center" wrapText="true"/>
    </xf>
    <xf numFmtId="43" fontId="9" fillId="3" borderId="0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left" vertical="center"/>
    </xf>
    <xf numFmtId="0" fontId="9" fillId="4" borderId="0" xfId="0" applyFont="true" applyFill="true" applyBorder="true" applyAlignment="true">
      <alignment horizontal="left" vertical="center"/>
    </xf>
    <xf numFmtId="0" fontId="8" fillId="4" borderId="0" xfId="0" applyFont="true" applyFill="true" applyBorder="true" applyAlignment="true">
      <alignment horizontal="left" vertical="center"/>
    </xf>
    <xf numFmtId="43" fontId="8" fillId="2" borderId="0" xfId="0" applyNumberFormat="true" applyFont="true" applyFill="true" applyBorder="true" applyAlignment="true">
      <alignment vertical="center"/>
    </xf>
    <xf numFmtId="43" fontId="8" fillId="0" borderId="0" xfId="0" applyNumberFormat="true" applyFont="true" applyFill="true" applyBorder="true" applyAlignment="true">
      <alignment vertical="center"/>
    </xf>
    <xf numFmtId="43" fontId="9" fillId="3" borderId="0" xfId="0" applyNumberFormat="true" applyFont="true" applyFill="true" applyBorder="true" applyAlignment="true">
      <alignment vertical="center"/>
    </xf>
    <xf numFmtId="0" fontId="3" fillId="3" borderId="1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left" vertical="center"/>
    </xf>
    <xf numFmtId="0" fontId="13" fillId="3" borderId="1" xfId="0" applyFont="true" applyFill="true" applyBorder="true" applyAlignment="true">
      <alignment horizontal="left" vertical="center"/>
    </xf>
    <xf numFmtId="43" fontId="15" fillId="3" borderId="1" xfId="24" applyNumberFormat="true" applyFont="true" applyFill="true" applyBorder="true" applyAlignment="true">
      <alignment horizontal="center" vertical="center"/>
    </xf>
    <xf numFmtId="0" fontId="15" fillId="3" borderId="1" xfId="0" applyFont="true" applyFill="true" applyBorder="true" applyAlignment="true">
      <alignment horizontal="center" vertical="center"/>
    </xf>
    <xf numFmtId="43" fontId="15" fillId="3" borderId="1" xfId="24" applyNumberFormat="true" applyFont="true" applyFill="true" applyBorder="true" applyAlignment="true">
      <alignment vertical="center"/>
    </xf>
    <xf numFmtId="9" fontId="15" fillId="3" borderId="1" xfId="0" applyNumberFormat="true" applyFont="true" applyFill="true" applyBorder="true" applyAlignment="true">
      <alignment horizontal="center" vertical="center" wrapText="true"/>
    </xf>
    <xf numFmtId="0" fontId="3" fillId="3" borderId="0" xfId="0" applyFont="true" applyFill="true" applyBorder="true" applyAlignment="true">
      <alignment horizontal="left" vertical="center"/>
    </xf>
    <xf numFmtId="0" fontId="4" fillId="3" borderId="3" xfId="0" applyNumberFormat="true" applyFont="true" applyFill="true" applyBorder="true" applyAlignment="true">
      <alignment vertical="center" wrapText="true"/>
    </xf>
    <xf numFmtId="0" fontId="3" fillId="3" borderId="0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vertical="center"/>
    </xf>
    <xf numFmtId="0" fontId="18" fillId="0" borderId="0" xfId="0" applyFont="true" applyFill="true" applyBorder="true" applyAlignment="true">
      <alignment vertical="center"/>
    </xf>
    <xf numFmtId="0" fontId="19" fillId="0" borderId="0" xfId="0" applyNumberFormat="true" applyFont="true" applyFill="true" applyAlignment="true">
      <alignment horizontal="center" vertical="center" wrapText="true"/>
    </xf>
    <xf numFmtId="0" fontId="20" fillId="0" borderId="0" xfId="0" applyNumberFormat="true" applyFont="true" applyFill="true" applyAlignment="true">
      <alignment horizontal="center" vertical="center" wrapText="true"/>
    </xf>
    <xf numFmtId="0" fontId="21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left" vertical="center"/>
    </xf>
    <xf numFmtId="43" fontId="22" fillId="0" borderId="1" xfId="24" applyNumberFormat="true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43" fontId="22" fillId="0" borderId="1" xfId="24" applyNumberFormat="true" applyFont="true" applyFill="true" applyBorder="true" applyAlignment="true">
      <alignment vertical="center"/>
    </xf>
    <xf numFmtId="9" fontId="22" fillId="0" borderId="1" xfId="0" applyNumberFormat="true" applyFont="true" applyFill="true" applyBorder="true" applyAlignment="true">
      <alignment horizontal="center" vertical="center" wrapText="true"/>
    </xf>
    <xf numFmtId="43" fontId="22" fillId="0" borderId="1" xfId="0" applyNumberFormat="true" applyFont="true" applyFill="true" applyBorder="true" applyAlignment="true">
      <alignment horizontal="center" vertical="center" wrapText="true"/>
    </xf>
    <xf numFmtId="43" fontId="17" fillId="0" borderId="0" xfId="0" applyNumberFormat="true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left" vertical="center"/>
    </xf>
    <xf numFmtId="43" fontId="17" fillId="0" borderId="0" xfId="0" applyNumberFormat="true" applyFont="true" applyFill="true" applyBorder="true" applyAlignment="true">
      <alignment vertical="center"/>
    </xf>
  </cellXfs>
  <cellStyles count="55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千位分隔 2" xfId="9"/>
    <cellStyle name="标题 1" xfId="10" builtinId="16"/>
    <cellStyle name="解释性文本" xfId="11" builtinId="53"/>
    <cellStyle name="千位分隔 3" xfId="12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FF00"/>
      <color rgb="00F8CBAD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45"/>
  <sheetViews>
    <sheetView tabSelected="1" view="pageBreakPreview" zoomScaleNormal="100" zoomScaleSheetLayoutView="100" topLeftCell="A22" workbookViewId="0">
      <selection activeCell="M28" sqref="M28"/>
    </sheetView>
  </sheetViews>
  <sheetFormatPr defaultColWidth="9" defaultRowHeight="20.1" customHeight="true"/>
  <cols>
    <col min="1" max="1" width="7.3" style="19" customWidth="true"/>
    <col min="2" max="2" width="12.3" style="19"/>
    <col min="3" max="3" width="35.8" style="19"/>
    <col min="4" max="4" width="32.3" style="19" customWidth="true"/>
    <col min="5" max="5" width="12.3" style="20" hidden="true" customWidth="true"/>
    <col min="6" max="6" width="8.8" style="21" hidden="true" customWidth="true"/>
    <col min="7" max="7" width="12.875" style="22" hidden="true" customWidth="true"/>
    <col min="8" max="8" width="9" style="19" hidden="true" customWidth="true"/>
    <col min="9" max="9" width="12.3" style="19" customWidth="true"/>
    <col min="10" max="12" width="11.2" style="19" customWidth="true"/>
    <col min="13" max="13" width="9.8" style="19" customWidth="true"/>
    <col min="14" max="14" width="25" style="23" hidden="true" customWidth="true"/>
    <col min="15" max="15" width="9.7" style="19" customWidth="true"/>
    <col min="16" max="17" width="10.5" style="19"/>
    <col min="18" max="18" width="12.3" style="19" customWidth="true"/>
    <col min="19" max="16384" width="9" style="19"/>
  </cols>
  <sheetData>
    <row r="1" customHeight="true" spans="1:1">
      <c r="A1" s="106" t="s">
        <v>0</v>
      </c>
    </row>
    <row r="2" ht="29" customHeight="true" spans="1:9">
      <c r="A2" s="107" t="s">
        <v>1</v>
      </c>
      <c r="B2" s="108"/>
      <c r="C2" s="108"/>
      <c r="D2" s="108"/>
      <c r="E2" s="108"/>
      <c r="F2" s="108"/>
      <c r="G2" s="108"/>
      <c r="H2" s="108"/>
      <c r="I2" s="108"/>
    </row>
    <row r="3" ht="14" customHeight="true" spans="1:9">
      <c r="A3" s="25"/>
      <c r="B3" s="25"/>
      <c r="C3" s="26"/>
      <c r="D3" s="27"/>
      <c r="E3" s="42"/>
      <c r="F3" s="25"/>
      <c r="G3" s="43"/>
      <c r="H3" s="44"/>
      <c r="I3" s="62" t="s">
        <v>2</v>
      </c>
    </row>
    <row r="4" ht="21" customHeight="true" spans="1:18">
      <c r="A4" s="28" t="s">
        <v>3</v>
      </c>
      <c r="B4" s="28" t="s">
        <v>4</v>
      </c>
      <c r="C4" s="28" t="s">
        <v>5</v>
      </c>
      <c r="D4" s="28" t="s">
        <v>6</v>
      </c>
      <c r="E4" s="45" t="s">
        <v>7</v>
      </c>
      <c r="F4" s="28" t="s">
        <v>8</v>
      </c>
      <c r="G4" s="46" t="s">
        <v>9</v>
      </c>
      <c r="H4" s="28" t="s">
        <v>10</v>
      </c>
      <c r="I4" s="28" t="s">
        <v>11</v>
      </c>
      <c r="J4" s="79"/>
      <c r="K4" s="79"/>
      <c r="L4" s="79"/>
      <c r="M4" s="79"/>
      <c r="O4" s="79"/>
      <c r="P4" s="79"/>
      <c r="Q4" s="79"/>
      <c r="R4" s="79"/>
    </row>
    <row r="5" ht="18" customHeight="true" spans="1:18">
      <c r="A5" s="28"/>
      <c r="B5" s="28" t="s">
        <v>12</v>
      </c>
      <c r="C5" s="28"/>
      <c r="D5" s="28"/>
      <c r="E5" s="45"/>
      <c r="F5" s="28"/>
      <c r="G5" s="46">
        <f t="shared" ref="G5:I5" si="0">G6+G18+G20+G22+G24+G29+G33+G41+G43</f>
        <v>1244333.74678099</v>
      </c>
      <c r="H5" s="46">
        <f t="shared" si="0"/>
        <v>0</v>
      </c>
      <c r="I5" s="46">
        <f t="shared" si="0"/>
        <v>461200</v>
      </c>
      <c r="J5" s="79"/>
      <c r="K5" s="79"/>
      <c r="L5" s="79"/>
      <c r="M5" s="79"/>
      <c r="O5" s="79"/>
      <c r="P5" s="79"/>
      <c r="Q5" s="79"/>
      <c r="R5" s="79"/>
    </row>
    <row r="6" ht="18" customHeight="true" spans="1:18">
      <c r="A6" s="28"/>
      <c r="B6" s="28" t="s">
        <v>13</v>
      </c>
      <c r="C6" s="28"/>
      <c r="D6" s="28"/>
      <c r="E6" s="45"/>
      <c r="F6" s="28"/>
      <c r="G6" s="46">
        <f>SUM(G7:G17)</f>
        <v>507647.336579665</v>
      </c>
      <c r="H6" s="28"/>
      <c r="I6" s="46">
        <f>SUM(I7:I17)</f>
        <v>164200</v>
      </c>
      <c r="J6" s="79"/>
      <c r="K6" s="79"/>
      <c r="L6" s="79"/>
      <c r="M6" s="79"/>
      <c r="O6" s="79"/>
      <c r="P6" s="79"/>
      <c r="Q6" s="79"/>
      <c r="R6" s="79"/>
    </row>
    <row r="7" ht="18" customHeight="true" spans="1:14">
      <c r="A7" s="29">
        <v>1</v>
      </c>
      <c r="B7" s="29" t="s">
        <v>14</v>
      </c>
      <c r="C7" s="5" t="s">
        <v>15</v>
      </c>
      <c r="D7" s="30" t="s">
        <v>16</v>
      </c>
      <c r="E7" s="47">
        <f>20790/18</f>
        <v>1155</v>
      </c>
      <c r="F7" s="48">
        <v>18</v>
      </c>
      <c r="G7" s="49">
        <f t="shared" ref="G7:G17" si="1">E7*F7</f>
        <v>20790</v>
      </c>
      <c r="H7" s="50">
        <v>0.5</v>
      </c>
      <c r="I7" s="67">
        <f t="shared" ref="I7:I15" si="2">MIN(ROUNDDOWN(E7*F7*H7,-2),30000)</f>
        <v>10300</v>
      </c>
      <c r="J7" s="78"/>
      <c r="K7" s="78"/>
      <c r="L7" s="78"/>
      <c r="M7" s="78"/>
      <c r="N7" s="19"/>
    </row>
    <row r="8" ht="18" customHeight="true" spans="1:14">
      <c r="A8" s="31">
        <v>2</v>
      </c>
      <c r="B8" s="29" t="s">
        <v>14</v>
      </c>
      <c r="C8" s="32" t="s">
        <v>17</v>
      </c>
      <c r="D8" s="30" t="s">
        <v>18</v>
      </c>
      <c r="E8" s="47">
        <f t="shared" ref="E8:E10" si="3">39800/18</f>
        <v>2211.11111111111</v>
      </c>
      <c r="F8" s="51">
        <v>18</v>
      </c>
      <c r="G8" s="49">
        <f t="shared" si="1"/>
        <v>39800</v>
      </c>
      <c r="H8" s="50">
        <v>0.5</v>
      </c>
      <c r="I8" s="67">
        <f t="shared" si="2"/>
        <v>19900</v>
      </c>
      <c r="J8" s="78"/>
      <c r="K8" s="78"/>
      <c r="L8" s="78"/>
      <c r="M8" s="78"/>
      <c r="N8" s="19"/>
    </row>
    <row r="9" ht="18" customHeight="true" spans="1:18">
      <c r="A9" s="29">
        <v>3</v>
      </c>
      <c r="B9" s="29" t="s">
        <v>14</v>
      </c>
      <c r="C9" s="32" t="s">
        <v>19</v>
      </c>
      <c r="D9" s="30" t="s">
        <v>18</v>
      </c>
      <c r="E9" s="47">
        <f t="shared" si="3"/>
        <v>2211.11111111111</v>
      </c>
      <c r="F9" s="51">
        <v>18</v>
      </c>
      <c r="G9" s="49">
        <f t="shared" si="1"/>
        <v>39800</v>
      </c>
      <c r="H9" s="50">
        <v>0.5</v>
      </c>
      <c r="I9" s="67">
        <f t="shared" si="2"/>
        <v>19900</v>
      </c>
      <c r="J9" s="80"/>
      <c r="K9" s="80"/>
      <c r="L9" s="80"/>
      <c r="M9" s="80"/>
      <c r="O9" s="80"/>
      <c r="P9" s="80"/>
      <c r="Q9" s="79"/>
      <c r="R9" s="79"/>
    </row>
    <row r="10" ht="18" customHeight="true" spans="1:18">
      <c r="A10" s="31">
        <v>4</v>
      </c>
      <c r="B10" s="33" t="s">
        <v>14</v>
      </c>
      <c r="C10" s="32" t="s">
        <v>20</v>
      </c>
      <c r="D10" s="30" t="s">
        <v>18</v>
      </c>
      <c r="E10" s="47">
        <f t="shared" si="3"/>
        <v>2211.11111111111</v>
      </c>
      <c r="F10" s="51">
        <v>18</v>
      </c>
      <c r="G10" s="49">
        <f t="shared" si="1"/>
        <v>39800</v>
      </c>
      <c r="H10" s="50">
        <v>0.5</v>
      </c>
      <c r="I10" s="67">
        <f t="shared" si="2"/>
        <v>19900</v>
      </c>
      <c r="J10" s="80"/>
      <c r="K10" s="80"/>
      <c r="L10" s="80"/>
      <c r="M10" s="80"/>
      <c r="O10" s="80"/>
      <c r="P10" s="80"/>
      <c r="Q10" s="79"/>
      <c r="R10" s="79"/>
    </row>
    <row r="11" ht="18" customHeight="true" spans="1:18">
      <c r="A11" s="29">
        <v>5</v>
      </c>
      <c r="B11" s="33" t="s">
        <v>14</v>
      </c>
      <c r="C11" s="32" t="s">
        <v>21</v>
      </c>
      <c r="D11" s="30" t="s">
        <v>22</v>
      </c>
      <c r="E11" s="47">
        <f>(51387-4000-371)/18</f>
        <v>2612</v>
      </c>
      <c r="F11" s="51">
        <v>18</v>
      </c>
      <c r="G11" s="49">
        <f t="shared" si="1"/>
        <v>47016</v>
      </c>
      <c r="H11" s="50">
        <v>0.5</v>
      </c>
      <c r="I11" s="67">
        <f t="shared" si="2"/>
        <v>23500</v>
      </c>
      <c r="J11" s="80"/>
      <c r="K11" s="80"/>
      <c r="L11" s="80"/>
      <c r="M11" s="80"/>
      <c r="O11" s="80"/>
      <c r="P11" s="80"/>
      <c r="Q11" s="79"/>
      <c r="R11" s="79"/>
    </row>
    <row r="12" ht="18" customHeight="true" spans="1:18">
      <c r="A12" s="31">
        <v>6</v>
      </c>
      <c r="B12" s="33" t="s">
        <v>14</v>
      </c>
      <c r="C12" s="32" t="s">
        <v>23</v>
      </c>
      <c r="D12" s="30" t="s">
        <v>22</v>
      </c>
      <c r="E12" s="47">
        <f>(14865-4000-371)/18</f>
        <v>583</v>
      </c>
      <c r="F12" s="51">
        <v>18</v>
      </c>
      <c r="G12" s="49">
        <f t="shared" si="1"/>
        <v>10494</v>
      </c>
      <c r="H12" s="50">
        <v>0.5</v>
      </c>
      <c r="I12" s="67">
        <f t="shared" si="2"/>
        <v>5200</v>
      </c>
      <c r="J12" s="80"/>
      <c r="K12" s="80"/>
      <c r="L12" s="80"/>
      <c r="M12" s="80"/>
      <c r="O12" s="80"/>
      <c r="P12" s="80"/>
      <c r="Q12" s="79"/>
      <c r="R12" s="79"/>
    </row>
    <row r="13" s="105" customFormat="true" ht="18" customHeight="true" spans="1:18">
      <c r="A13" s="109">
        <v>7</v>
      </c>
      <c r="B13" s="109" t="s">
        <v>14</v>
      </c>
      <c r="C13" s="110" t="s">
        <v>24</v>
      </c>
      <c r="D13" s="110" t="s">
        <v>22</v>
      </c>
      <c r="E13" s="111">
        <f>(28000+1000)*32110/(28000+1000+4000+371)/18</f>
        <v>1550.23157165736</v>
      </c>
      <c r="F13" s="112">
        <v>18</v>
      </c>
      <c r="G13" s="113">
        <f t="shared" si="1"/>
        <v>27904.1682898325</v>
      </c>
      <c r="H13" s="114">
        <v>0.5</v>
      </c>
      <c r="I13" s="115">
        <f t="shared" si="2"/>
        <v>13900</v>
      </c>
      <c r="J13" s="116"/>
      <c r="K13" s="116"/>
      <c r="L13" s="116"/>
      <c r="M13" s="116"/>
      <c r="N13" s="117"/>
      <c r="O13" s="116"/>
      <c r="P13" s="116"/>
      <c r="Q13" s="118"/>
      <c r="R13" s="118"/>
    </row>
    <row r="14" ht="18" customHeight="true" spans="1:18">
      <c r="A14" s="31">
        <v>8</v>
      </c>
      <c r="B14" s="33" t="s">
        <v>14</v>
      </c>
      <c r="C14" s="32" t="s">
        <v>25</v>
      </c>
      <c r="D14" s="30" t="s">
        <v>22</v>
      </c>
      <c r="E14" s="47">
        <f>(28000+1000)*32110/(28000+1000+4000+371)/18</f>
        <v>1550.23157165736</v>
      </c>
      <c r="F14" s="51">
        <v>18</v>
      </c>
      <c r="G14" s="49">
        <f t="shared" si="1"/>
        <v>27904.1682898325</v>
      </c>
      <c r="H14" s="50">
        <v>0.5</v>
      </c>
      <c r="I14" s="67">
        <f t="shared" si="2"/>
        <v>13900</v>
      </c>
      <c r="J14" s="80"/>
      <c r="K14" s="80"/>
      <c r="L14" s="80"/>
      <c r="M14" s="80"/>
      <c r="O14" s="80"/>
      <c r="P14" s="80"/>
      <c r="Q14" s="79"/>
      <c r="R14" s="79"/>
    </row>
    <row r="15" ht="18" customHeight="true" spans="1:18">
      <c r="A15" s="29">
        <v>9</v>
      </c>
      <c r="B15" s="29" t="s">
        <v>14</v>
      </c>
      <c r="C15" s="32" t="s">
        <v>26</v>
      </c>
      <c r="D15" s="30" t="s">
        <v>22</v>
      </c>
      <c r="E15" s="47">
        <f>23271/9</f>
        <v>2585.66666666667</v>
      </c>
      <c r="F15" s="51">
        <v>9</v>
      </c>
      <c r="G15" s="49">
        <f t="shared" si="1"/>
        <v>23271</v>
      </c>
      <c r="H15" s="50">
        <v>0.5</v>
      </c>
      <c r="I15" s="67">
        <f t="shared" si="2"/>
        <v>11600</v>
      </c>
      <c r="J15" s="80"/>
      <c r="K15" s="80"/>
      <c r="L15" s="80"/>
      <c r="M15" s="80"/>
      <c r="O15" s="80"/>
      <c r="P15" s="80"/>
      <c r="Q15" s="79"/>
      <c r="R15" s="79"/>
    </row>
    <row r="16" ht="18" customHeight="true" spans="1:18">
      <c r="A16" s="31">
        <v>10</v>
      </c>
      <c r="B16" s="33" t="s">
        <v>14</v>
      </c>
      <c r="C16" s="32" t="s">
        <v>27</v>
      </c>
      <c r="D16" s="30" t="s">
        <v>22</v>
      </c>
      <c r="E16" s="47">
        <f>(25359-4000-371)/36</f>
        <v>583</v>
      </c>
      <c r="F16" s="51">
        <v>36</v>
      </c>
      <c r="G16" s="49">
        <f t="shared" si="1"/>
        <v>20988</v>
      </c>
      <c r="H16" s="50">
        <v>0.5</v>
      </c>
      <c r="I16" s="67">
        <f t="shared" ref="I16:I21" si="4">MIN(ROUNDDOWN(E16*18*H16,-2),30000)</f>
        <v>5200</v>
      </c>
      <c r="J16" s="80"/>
      <c r="K16" s="80"/>
      <c r="L16" s="80"/>
      <c r="M16" s="80"/>
      <c r="O16" s="80"/>
      <c r="P16" s="80"/>
      <c r="Q16" s="79"/>
      <c r="R16" s="79"/>
    </row>
    <row r="17" ht="18" customHeight="true" spans="1:18">
      <c r="A17" s="29">
        <v>11</v>
      </c>
      <c r="B17" s="29" t="s">
        <v>14</v>
      </c>
      <c r="C17" s="32" t="s">
        <v>28</v>
      </c>
      <c r="D17" s="30" t="s">
        <v>22</v>
      </c>
      <c r="E17" s="47">
        <f>(214251-4000-371)/90</f>
        <v>2332</v>
      </c>
      <c r="F17" s="51">
        <v>90</v>
      </c>
      <c r="G17" s="49">
        <f t="shared" si="1"/>
        <v>209880</v>
      </c>
      <c r="H17" s="50">
        <v>0.5</v>
      </c>
      <c r="I17" s="67">
        <f t="shared" si="4"/>
        <v>20900</v>
      </c>
      <c r="J17" s="80"/>
      <c r="K17" s="80"/>
      <c r="L17" s="80"/>
      <c r="M17" s="80"/>
      <c r="O17" s="80"/>
      <c r="P17" s="80"/>
      <c r="Q17" s="79"/>
      <c r="R17" s="79"/>
    </row>
    <row r="18" s="15" customFormat="true" ht="18" customHeight="true" spans="1:18">
      <c r="A18" s="34"/>
      <c r="B18" s="34" t="s">
        <v>29</v>
      </c>
      <c r="C18" s="35"/>
      <c r="D18" s="36"/>
      <c r="E18" s="52"/>
      <c r="F18" s="53"/>
      <c r="G18" s="54">
        <f t="shared" ref="G18:G22" si="5">SUM(G19)</f>
        <v>35767.2586757821</v>
      </c>
      <c r="H18" s="55"/>
      <c r="I18" s="54">
        <f t="shared" ref="I18:I22" si="6">SUM(I19)</f>
        <v>17800</v>
      </c>
      <c r="J18" s="83"/>
      <c r="K18" s="83"/>
      <c r="L18" s="83"/>
      <c r="M18" s="83"/>
      <c r="N18" s="89"/>
      <c r="O18" s="83"/>
      <c r="P18" s="83"/>
      <c r="Q18" s="93"/>
      <c r="R18" s="93"/>
    </row>
    <row r="19" ht="18" customHeight="true" spans="1:18">
      <c r="A19" s="31">
        <v>12</v>
      </c>
      <c r="B19" s="33" t="s">
        <v>30</v>
      </c>
      <c r="C19" s="32" t="s">
        <v>31</v>
      </c>
      <c r="D19" s="30" t="s">
        <v>22</v>
      </c>
      <c r="E19" s="47">
        <f>(35000+1000)*40110/(35000+1000+4000+371)/18</f>
        <v>1987.06992643234</v>
      </c>
      <c r="F19" s="51">
        <v>18</v>
      </c>
      <c r="G19" s="49">
        <f t="shared" ref="G19:G23" si="7">E19*F19</f>
        <v>35767.2586757821</v>
      </c>
      <c r="H19" s="50">
        <v>0.5</v>
      </c>
      <c r="I19" s="67">
        <f>MIN(ROUNDDOWN(E19*F19*H19,-2),30000)</f>
        <v>17800</v>
      </c>
      <c r="J19" s="80"/>
      <c r="K19" s="80"/>
      <c r="L19" s="80"/>
      <c r="M19" s="80"/>
      <c r="O19" s="80"/>
      <c r="P19" s="80"/>
      <c r="Q19" s="79"/>
      <c r="R19" s="79"/>
    </row>
    <row r="20" s="15" customFormat="true" ht="18" customHeight="true" spans="1:18">
      <c r="A20" s="28"/>
      <c r="B20" s="37" t="s">
        <v>32</v>
      </c>
      <c r="C20" s="35"/>
      <c r="D20" s="36"/>
      <c r="E20" s="52"/>
      <c r="F20" s="53"/>
      <c r="G20" s="54">
        <f t="shared" si="5"/>
        <v>150000</v>
      </c>
      <c r="H20" s="55"/>
      <c r="I20" s="54">
        <f t="shared" si="6"/>
        <v>30000</v>
      </c>
      <c r="J20" s="83"/>
      <c r="K20" s="83"/>
      <c r="L20" s="83"/>
      <c r="M20" s="83"/>
      <c r="N20" s="89"/>
      <c r="O20" s="83"/>
      <c r="P20" s="83"/>
      <c r="Q20" s="93"/>
      <c r="R20" s="93"/>
    </row>
    <row r="21" ht="18" customHeight="true" spans="1:18">
      <c r="A21" s="29">
        <v>13</v>
      </c>
      <c r="B21" s="33" t="s">
        <v>33</v>
      </c>
      <c r="C21" s="32" t="s">
        <v>34</v>
      </c>
      <c r="D21" s="30" t="s">
        <v>18</v>
      </c>
      <c r="E21" s="47">
        <f>150000/45</f>
        <v>3333.33333333333</v>
      </c>
      <c r="F21" s="51">
        <v>45</v>
      </c>
      <c r="G21" s="49">
        <f t="shared" si="7"/>
        <v>150000</v>
      </c>
      <c r="H21" s="50">
        <v>0.7</v>
      </c>
      <c r="I21" s="67">
        <f t="shared" si="4"/>
        <v>30000</v>
      </c>
      <c r="J21" s="80"/>
      <c r="K21" s="80"/>
      <c r="L21" s="80"/>
      <c r="M21" s="80"/>
      <c r="O21" s="80"/>
      <c r="P21" s="80"/>
      <c r="Q21" s="79"/>
      <c r="R21" s="79"/>
    </row>
    <row r="22" s="15" customFormat="true" ht="18" customHeight="true" spans="1:18">
      <c r="A22" s="34"/>
      <c r="B22" s="37" t="s">
        <v>35</v>
      </c>
      <c r="C22" s="35"/>
      <c r="D22" s="36"/>
      <c r="E22" s="52"/>
      <c r="F22" s="53"/>
      <c r="G22" s="54">
        <f t="shared" si="5"/>
        <v>39800</v>
      </c>
      <c r="H22" s="55"/>
      <c r="I22" s="54">
        <f t="shared" si="6"/>
        <v>19900</v>
      </c>
      <c r="J22" s="83"/>
      <c r="K22" s="83"/>
      <c r="L22" s="83"/>
      <c r="M22" s="83"/>
      <c r="N22" s="89"/>
      <c r="O22" s="83"/>
      <c r="P22" s="83"/>
      <c r="Q22" s="93"/>
      <c r="R22" s="93"/>
    </row>
    <row r="23" ht="18" customHeight="true" spans="1:18">
      <c r="A23" s="31">
        <v>14</v>
      </c>
      <c r="B23" s="33" t="s">
        <v>36</v>
      </c>
      <c r="C23" s="32" t="s">
        <v>37</v>
      </c>
      <c r="D23" s="30" t="s">
        <v>18</v>
      </c>
      <c r="E23" s="47">
        <f>39800/18</f>
        <v>2211.11111111111</v>
      </c>
      <c r="F23" s="51">
        <v>18</v>
      </c>
      <c r="G23" s="49">
        <f t="shared" si="7"/>
        <v>39800</v>
      </c>
      <c r="H23" s="50">
        <v>0.5</v>
      </c>
      <c r="I23" s="67">
        <f t="shared" ref="I23:I28" si="8">MIN(ROUNDDOWN(E23*F23*H23,-2),30000)</f>
        <v>19900</v>
      </c>
      <c r="J23" s="80"/>
      <c r="K23" s="80"/>
      <c r="L23" s="80"/>
      <c r="M23" s="80"/>
      <c r="O23" s="80"/>
      <c r="P23" s="80"/>
      <c r="Q23" s="79"/>
      <c r="R23" s="79"/>
    </row>
    <row r="24" s="15" customFormat="true" ht="18" customHeight="true" spans="1:18">
      <c r="A24" s="28"/>
      <c r="B24" s="37" t="s">
        <v>38</v>
      </c>
      <c r="C24" s="35"/>
      <c r="D24" s="36"/>
      <c r="E24" s="52"/>
      <c r="F24" s="53"/>
      <c r="G24" s="54">
        <f>SUM(G25:G28)</f>
        <v>184371</v>
      </c>
      <c r="H24" s="55"/>
      <c r="I24" s="54">
        <f>SUM(I25:I28)</f>
        <v>89100</v>
      </c>
      <c r="J24" s="83"/>
      <c r="K24" s="83"/>
      <c r="L24" s="83"/>
      <c r="M24" s="83"/>
      <c r="N24" s="89"/>
      <c r="O24" s="83"/>
      <c r="P24" s="83"/>
      <c r="Q24" s="93"/>
      <c r="R24" s="93"/>
    </row>
    <row r="25" ht="18" customHeight="true" spans="1:18">
      <c r="A25" s="29">
        <v>15</v>
      </c>
      <c r="B25" s="33" t="s">
        <v>39</v>
      </c>
      <c r="C25" s="32" t="s">
        <v>40</v>
      </c>
      <c r="D25" s="30" t="s">
        <v>16</v>
      </c>
      <c r="E25" s="47">
        <f>39600/18</f>
        <v>2200</v>
      </c>
      <c r="F25" s="51">
        <v>18</v>
      </c>
      <c r="G25" s="49">
        <f t="shared" ref="G25:G28" si="9">E25*F25</f>
        <v>39600</v>
      </c>
      <c r="H25" s="50">
        <v>0.5</v>
      </c>
      <c r="I25" s="67">
        <f t="shared" si="8"/>
        <v>19800</v>
      </c>
      <c r="J25" s="80"/>
      <c r="K25" s="80"/>
      <c r="L25" s="80"/>
      <c r="M25" s="80"/>
      <c r="N25" s="90"/>
      <c r="O25" s="80"/>
      <c r="P25" s="80"/>
      <c r="Q25" s="79"/>
      <c r="R25" s="79"/>
    </row>
    <row r="26" ht="18" customHeight="true" spans="1:18">
      <c r="A26" s="31">
        <v>16</v>
      </c>
      <c r="B26" s="33" t="s">
        <v>39</v>
      </c>
      <c r="C26" s="32" t="s">
        <v>41</v>
      </c>
      <c r="D26" s="30" t="s">
        <v>16</v>
      </c>
      <c r="E26" s="47">
        <f>39600/18</f>
        <v>2200</v>
      </c>
      <c r="F26" s="51">
        <v>18</v>
      </c>
      <c r="G26" s="49">
        <f t="shared" si="9"/>
        <v>39600</v>
      </c>
      <c r="H26" s="50">
        <v>0.5</v>
      </c>
      <c r="I26" s="67">
        <f t="shared" si="8"/>
        <v>19800</v>
      </c>
      <c r="J26" s="80"/>
      <c r="K26" s="80"/>
      <c r="L26" s="80"/>
      <c r="M26" s="80"/>
      <c r="O26" s="80"/>
      <c r="P26" s="80"/>
      <c r="Q26" s="79"/>
      <c r="R26" s="79"/>
    </row>
    <row r="27" ht="18" customHeight="true" spans="1:18">
      <c r="A27" s="29">
        <v>17</v>
      </c>
      <c r="B27" s="33" t="s">
        <v>39</v>
      </c>
      <c r="C27" s="32" t="s">
        <v>42</v>
      </c>
      <c r="D27" s="30" t="s">
        <v>22</v>
      </c>
      <c r="E27" s="47">
        <f>66000/18</f>
        <v>3666.66666666667</v>
      </c>
      <c r="F27" s="51">
        <v>18</v>
      </c>
      <c r="G27" s="49">
        <f t="shared" si="9"/>
        <v>66000</v>
      </c>
      <c r="H27" s="50">
        <v>0.5</v>
      </c>
      <c r="I27" s="67">
        <f t="shared" si="8"/>
        <v>30000</v>
      </c>
      <c r="J27" s="80"/>
      <c r="K27" s="80"/>
      <c r="L27" s="80"/>
      <c r="M27" s="80"/>
      <c r="O27" s="80"/>
      <c r="P27" s="80"/>
      <c r="Q27" s="79"/>
      <c r="R27" s="79"/>
    </row>
    <row r="28" ht="18" customHeight="true" spans="1:18">
      <c r="A28" s="31">
        <v>18</v>
      </c>
      <c r="B28" s="33" t="s">
        <v>39</v>
      </c>
      <c r="C28" s="32" t="s">
        <v>43</v>
      </c>
      <c r="D28" s="30" t="s">
        <v>22</v>
      </c>
      <c r="E28" s="47">
        <f>39171/18</f>
        <v>2176.16666666667</v>
      </c>
      <c r="F28" s="51">
        <v>18</v>
      </c>
      <c r="G28" s="49">
        <f t="shared" si="9"/>
        <v>39171</v>
      </c>
      <c r="H28" s="50">
        <v>0.5</v>
      </c>
      <c r="I28" s="67">
        <f t="shared" si="8"/>
        <v>19500</v>
      </c>
      <c r="J28" s="80"/>
      <c r="K28" s="80"/>
      <c r="L28" s="80"/>
      <c r="M28" s="80"/>
      <c r="O28" s="80"/>
      <c r="P28" s="80"/>
      <c r="Q28" s="79"/>
      <c r="R28" s="79"/>
    </row>
    <row r="29" s="15" customFormat="true" ht="18" customHeight="true" spans="1:18">
      <c r="A29" s="28"/>
      <c r="B29" s="37" t="s">
        <v>44</v>
      </c>
      <c r="C29" s="35"/>
      <c r="D29" s="36"/>
      <c r="E29" s="52"/>
      <c r="F29" s="53"/>
      <c r="G29" s="54">
        <f>SUM(G30:G32)</f>
        <v>58124.1682898325</v>
      </c>
      <c r="H29" s="55"/>
      <c r="I29" s="54">
        <f>SUM(I30:I32)</f>
        <v>28900</v>
      </c>
      <c r="J29" s="83"/>
      <c r="K29" s="83"/>
      <c r="L29" s="83"/>
      <c r="M29" s="83"/>
      <c r="N29" s="89"/>
      <c r="O29" s="83"/>
      <c r="P29" s="83"/>
      <c r="Q29" s="93"/>
      <c r="R29" s="93"/>
    </row>
    <row r="30" ht="18" customHeight="true" spans="1:18">
      <c r="A30" s="29">
        <v>19</v>
      </c>
      <c r="B30" s="33" t="s">
        <v>45</v>
      </c>
      <c r="C30" s="32" t="s">
        <v>46</v>
      </c>
      <c r="D30" s="30" t="s">
        <v>22</v>
      </c>
      <c r="E30" s="47">
        <f>12000*1.06/9</f>
        <v>1413.33333333333</v>
      </c>
      <c r="F30" s="51">
        <v>9</v>
      </c>
      <c r="G30" s="49">
        <f t="shared" ref="G30:G32" si="10">E30*F30</f>
        <v>12720</v>
      </c>
      <c r="H30" s="50">
        <v>0.5</v>
      </c>
      <c r="I30" s="67">
        <f t="shared" ref="I30:I32" si="11">MIN(ROUNDDOWN(E30*F30*H30,-2),30000)</f>
        <v>6300</v>
      </c>
      <c r="J30" s="80"/>
      <c r="K30" s="80"/>
      <c r="L30" s="80"/>
      <c r="M30" s="80"/>
      <c r="O30" s="80"/>
      <c r="P30" s="80"/>
      <c r="Q30" s="79"/>
      <c r="R30" s="79"/>
    </row>
    <row r="31" ht="18" customHeight="true" spans="1:18">
      <c r="A31" s="31">
        <v>20</v>
      </c>
      <c r="B31" s="33" t="s">
        <v>45</v>
      </c>
      <c r="C31" s="32" t="s">
        <v>47</v>
      </c>
      <c r="D31" s="30" t="s">
        <v>22</v>
      </c>
      <c r="E31" s="47">
        <f>(21871-4000-371)/9</f>
        <v>1944.44444444444</v>
      </c>
      <c r="F31" s="51">
        <v>9</v>
      </c>
      <c r="G31" s="49">
        <f t="shared" si="10"/>
        <v>17500</v>
      </c>
      <c r="H31" s="50">
        <v>0.5</v>
      </c>
      <c r="I31" s="67">
        <f t="shared" si="11"/>
        <v>8700</v>
      </c>
      <c r="J31" s="80"/>
      <c r="K31" s="80"/>
      <c r="L31" s="80"/>
      <c r="M31" s="80"/>
      <c r="N31" s="90"/>
      <c r="O31" s="80"/>
      <c r="P31" s="80"/>
      <c r="Q31" s="79"/>
      <c r="R31" s="79"/>
    </row>
    <row r="32" ht="18" customHeight="true" spans="1:18">
      <c r="A32" s="29">
        <v>21</v>
      </c>
      <c r="B32" s="33" t="s">
        <v>45</v>
      </c>
      <c r="C32" s="32" t="s">
        <v>48</v>
      </c>
      <c r="D32" s="30" t="s">
        <v>22</v>
      </c>
      <c r="E32" s="47">
        <f>(28000+1000)*32110/(28000+1000+4000+371)/18</f>
        <v>1550.23157165736</v>
      </c>
      <c r="F32" s="51">
        <v>18</v>
      </c>
      <c r="G32" s="49">
        <f t="shared" si="10"/>
        <v>27904.1682898325</v>
      </c>
      <c r="H32" s="50">
        <v>0.5</v>
      </c>
      <c r="I32" s="67">
        <f t="shared" si="11"/>
        <v>13900</v>
      </c>
      <c r="J32" s="80"/>
      <c r="K32" s="80"/>
      <c r="L32" s="80"/>
      <c r="M32" s="80"/>
      <c r="N32" s="90"/>
      <c r="O32" s="80"/>
      <c r="P32" s="80"/>
      <c r="Q32" s="79"/>
      <c r="R32" s="79"/>
    </row>
    <row r="33" s="15" customFormat="true" ht="18" customHeight="true" spans="1:18">
      <c r="A33" s="34"/>
      <c r="B33" s="37" t="s">
        <v>49</v>
      </c>
      <c r="C33" s="35"/>
      <c r="D33" s="36"/>
      <c r="E33" s="52"/>
      <c r="F33" s="53"/>
      <c r="G33" s="54">
        <f>SUM(G34:G40)</f>
        <v>217856.724559929</v>
      </c>
      <c r="H33" s="55"/>
      <c r="I33" s="54">
        <f>SUM(I34:I40)</f>
        <v>86000</v>
      </c>
      <c r="J33" s="83"/>
      <c r="K33" s="83"/>
      <c r="L33" s="83"/>
      <c r="M33" s="83"/>
      <c r="N33" s="91"/>
      <c r="O33" s="83"/>
      <c r="P33" s="83"/>
      <c r="Q33" s="93"/>
      <c r="R33" s="93"/>
    </row>
    <row r="34" ht="18" customHeight="true" spans="1:18">
      <c r="A34" s="31">
        <v>22</v>
      </c>
      <c r="B34" s="31" t="s">
        <v>50</v>
      </c>
      <c r="C34" s="38" t="s">
        <v>51</v>
      </c>
      <c r="D34" s="30" t="s">
        <v>52</v>
      </c>
      <c r="E34" s="56">
        <f>ROUND(49470/36,2)</f>
        <v>1374.17</v>
      </c>
      <c r="F34" s="57">
        <v>36</v>
      </c>
      <c r="G34" s="49">
        <f>ROUND(E34*F34,0)</f>
        <v>49470</v>
      </c>
      <c r="H34" s="50">
        <v>0.5</v>
      </c>
      <c r="I34" s="67">
        <f t="shared" ref="I34:I38" si="12">MIN(ROUNDDOWN(E34*18*H34,-2),30000)</f>
        <v>12300</v>
      </c>
      <c r="J34" s="80"/>
      <c r="K34" s="80"/>
      <c r="L34" s="80"/>
      <c r="M34" s="80"/>
      <c r="O34" s="80"/>
      <c r="P34" s="80"/>
      <c r="Q34" s="79"/>
      <c r="R34" s="79"/>
    </row>
    <row r="35" ht="18" customHeight="true" spans="1:18">
      <c r="A35" s="29">
        <v>23</v>
      </c>
      <c r="B35" s="29" t="s">
        <v>50</v>
      </c>
      <c r="C35" s="5" t="s">
        <v>53</v>
      </c>
      <c r="D35" s="30" t="s">
        <v>52</v>
      </c>
      <c r="E35" s="47">
        <f>22500/12*0.85</f>
        <v>1593.75</v>
      </c>
      <c r="F35" s="48">
        <v>12</v>
      </c>
      <c r="G35" s="49">
        <f t="shared" ref="G35:G40" si="13">E35*F35</f>
        <v>19125</v>
      </c>
      <c r="H35" s="50">
        <v>0.5</v>
      </c>
      <c r="I35" s="67">
        <f>MIN(ROUNDDOWN(E35*F35*H35,-2),30000)</f>
        <v>9500</v>
      </c>
      <c r="J35" s="80"/>
      <c r="K35" s="80"/>
      <c r="L35" s="80"/>
      <c r="M35" s="80"/>
      <c r="O35" s="80"/>
      <c r="P35" s="80"/>
      <c r="Q35" s="79"/>
      <c r="R35" s="79"/>
    </row>
    <row r="36" ht="18" customHeight="true" spans="1:18">
      <c r="A36" s="31">
        <v>24</v>
      </c>
      <c r="B36" s="33" t="s">
        <v>50</v>
      </c>
      <c r="C36" s="32" t="s">
        <v>54</v>
      </c>
      <c r="D36" s="30" t="s">
        <v>16</v>
      </c>
      <c r="E36" s="47">
        <f>32400/36</f>
        <v>900</v>
      </c>
      <c r="F36" s="51">
        <v>36</v>
      </c>
      <c r="G36" s="49">
        <f t="shared" si="13"/>
        <v>32400</v>
      </c>
      <c r="H36" s="50">
        <v>0.5</v>
      </c>
      <c r="I36" s="67">
        <f t="shared" si="12"/>
        <v>8100</v>
      </c>
      <c r="J36" s="80"/>
      <c r="K36" s="80"/>
      <c r="L36" s="80"/>
      <c r="M36" s="80"/>
      <c r="O36" s="80"/>
      <c r="P36" s="80"/>
      <c r="Q36" s="79"/>
      <c r="R36" s="79"/>
    </row>
    <row r="37" ht="18" customHeight="true" spans="1:18">
      <c r="A37" s="29">
        <v>25</v>
      </c>
      <c r="B37" s="33" t="s">
        <v>50</v>
      </c>
      <c r="C37" s="32" t="s">
        <v>55</v>
      </c>
      <c r="D37" s="30" t="s">
        <v>52</v>
      </c>
      <c r="E37" s="47">
        <f>1875*0.85*(37689/46650)</f>
        <v>1287.60651125402</v>
      </c>
      <c r="F37" s="51">
        <v>24</v>
      </c>
      <c r="G37" s="49">
        <f t="shared" si="13"/>
        <v>30902.5562700965</v>
      </c>
      <c r="H37" s="50">
        <v>0.7</v>
      </c>
      <c r="I37" s="67">
        <f t="shared" si="12"/>
        <v>16200</v>
      </c>
      <c r="J37" s="80"/>
      <c r="K37" s="80"/>
      <c r="L37" s="80"/>
      <c r="M37" s="80"/>
      <c r="O37" s="80"/>
      <c r="P37" s="80"/>
      <c r="Q37" s="79"/>
      <c r="R37" s="79"/>
    </row>
    <row r="38" ht="18" customHeight="true" spans="1:18">
      <c r="A38" s="31">
        <v>26</v>
      </c>
      <c r="B38" s="33" t="s">
        <v>50</v>
      </c>
      <c r="C38" s="32" t="s">
        <v>56</v>
      </c>
      <c r="D38" s="30" t="s">
        <v>52</v>
      </c>
      <c r="E38" s="47">
        <f>31407.5/20</f>
        <v>1570.375</v>
      </c>
      <c r="F38" s="51">
        <v>20</v>
      </c>
      <c r="G38" s="49">
        <f t="shared" si="13"/>
        <v>31407.5</v>
      </c>
      <c r="H38" s="50">
        <v>0.5</v>
      </c>
      <c r="I38" s="67">
        <f t="shared" si="12"/>
        <v>14100</v>
      </c>
      <c r="J38" s="79"/>
      <c r="K38" s="79"/>
      <c r="L38" s="79"/>
      <c r="M38" s="79"/>
      <c r="O38" s="80"/>
      <c r="P38" s="80"/>
      <c r="Q38" s="79"/>
      <c r="R38" s="79"/>
    </row>
    <row r="39" ht="18" customHeight="true" spans="1:18">
      <c r="A39" s="29">
        <v>27</v>
      </c>
      <c r="B39" s="33" t="s">
        <v>50</v>
      </c>
      <c r="C39" s="32" t="s">
        <v>57</v>
      </c>
      <c r="D39" s="30" t="s">
        <v>22</v>
      </c>
      <c r="E39" s="47">
        <f>(28000+1000)*32110/(28000+1000+4000+371)/18</f>
        <v>1550.23157165736</v>
      </c>
      <c r="F39" s="51">
        <v>18</v>
      </c>
      <c r="G39" s="49">
        <f t="shared" si="13"/>
        <v>27904.1682898325</v>
      </c>
      <c r="H39" s="50">
        <v>0.5</v>
      </c>
      <c r="I39" s="67">
        <f t="shared" ref="I39:I44" si="14">MIN(ROUNDDOWN(E39*F39*H39,-2),30000)</f>
        <v>13900</v>
      </c>
      <c r="J39" s="80"/>
      <c r="K39" s="80"/>
      <c r="L39" s="80"/>
      <c r="M39" s="80"/>
      <c r="O39" s="79"/>
      <c r="P39" s="79"/>
      <c r="Q39" s="79"/>
      <c r="R39" s="79"/>
    </row>
    <row r="40" s="16" customFormat="true" ht="18" customHeight="true" spans="1:18">
      <c r="A40" s="31">
        <v>28</v>
      </c>
      <c r="B40" s="33" t="s">
        <v>50</v>
      </c>
      <c r="C40" s="32" t="s">
        <v>58</v>
      </c>
      <c r="D40" s="30" t="s">
        <v>52</v>
      </c>
      <c r="E40" s="47">
        <f>26647.5/20</f>
        <v>1332.375</v>
      </c>
      <c r="F40" s="51">
        <v>20</v>
      </c>
      <c r="G40" s="49">
        <f t="shared" si="13"/>
        <v>26647.5</v>
      </c>
      <c r="H40" s="50">
        <v>0.5</v>
      </c>
      <c r="I40" s="67">
        <f>MIN(ROUNDDOWN(E40*18*H40,-2),30000)</f>
        <v>11900</v>
      </c>
      <c r="J40" s="84"/>
      <c r="K40" s="84"/>
      <c r="L40" s="84"/>
      <c r="M40" s="84"/>
      <c r="N40" s="23"/>
      <c r="O40" s="86"/>
      <c r="P40" s="86"/>
      <c r="Q40" s="86"/>
      <c r="R40" s="86"/>
    </row>
    <row r="41" s="17" customFormat="true" ht="18" customHeight="true" spans="1:18">
      <c r="A41" s="28"/>
      <c r="B41" s="37" t="s">
        <v>59</v>
      </c>
      <c r="C41" s="35"/>
      <c r="D41" s="36"/>
      <c r="E41" s="52"/>
      <c r="F41" s="53"/>
      <c r="G41" s="54">
        <f>SUM(G42)</f>
        <v>35767.2586757821</v>
      </c>
      <c r="H41" s="55"/>
      <c r="I41" s="54">
        <f>SUM(I42)</f>
        <v>17800</v>
      </c>
      <c r="J41" s="85"/>
      <c r="K41" s="85"/>
      <c r="L41" s="85"/>
      <c r="M41" s="85"/>
      <c r="N41" s="89"/>
      <c r="O41" s="92"/>
      <c r="P41" s="92"/>
      <c r="Q41" s="92"/>
      <c r="R41" s="92"/>
    </row>
    <row r="42" ht="18" customHeight="true" spans="1:18">
      <c r="A42" s="29">
        <v>29</v>
      </c>
      <c r="B42" s="33" t="s">
        <v>60</v>
      </c>
      <c r="C42" s="32" t="s">
        <v>61</v>
      </c>
      <c r="D42" s="30" t="s">
        <v>22</v>
      </c>
      <c r="E42" s="47">
        <f>(35000+1000)*40110/(35000+1000+4000+371)/18</f>
        <v>1987.06992643234</v>
      </c>
      <c r="F42" s="51">
        <v>18</v>
      </c>
      <c r="G42" s="49">
        <f>E42*F42</f>
        <v>35767.2586757821</v>
      </c>
      <c r="H42" s="50">
        <v>0.5</v>
      </c>
      <c r="I42" s="67">
        <f t="shared" si="14"/>
        <v>17800</v>
      </c>
      <c r="J42" s="80"/>
      <c r="K42" s="80"/>
      <c r="L42" s="80"/>
      <c r="M42" s="80"/>
      <c r="O42" s="79"/>
      <c r="P42" s="79"/>
      <c r="Q42" s="79"/>
      <c r="R42" s="79"/>
    </row>
    <row r="43" s="15" customFormat="true" ht="18" customHeight="true" spans="1:18">
      <c r="A43" s="34"/>
      <c r="B43" s="37" t="s">
        <v>62</v>
      </c>
      <c r="C43" s="35"/>
      <c r="D43" s="36"/>
      <c r="E43" s="52"/>
      <c r="F43" s="53"/>
      <c r="G43" s="54">
        <f>SUM(G44)</f>
        <v>15000</v>
      </c>
      <c r="H43" s="55"/>
      <c r="I43" s="54">
        <f>SUM(I44)</f>
        <v>7500</v>
      </c>
      <c r="J43" s="83"/>
      <c r="K43" s="83"/>
      <c r="L43" s="83"/>
      <c r="M43" s="83"/>
      <c r="N43" s="89"/>
      <c r="O43" s="93"/>
      <c r="P43" s="93"/>
      <c r="Q43" s="93"/>
      <c r="R43" s="93"/>
    </row>
    <row r="44" s="16" customFormat="true" ht="18" customHeight="true" spans="1:18">
      <c r="A44" s="31">
        <v>30</v>
      </c>
      <c r="B44" s="33" t="s">
        <v>63</v>
      </c>
      <c r="C44" s="32" t="s">
        <v>64</v>
      </c>
      <c r="D44" s="30" t="s">
        <v>18</v>
      </c>
      <c r="E44" s="47">
        <f>15000/9</f>
        <v>1666.66666666667</v>
      </c>
      <c r="F44" s="51">
        <v>9</v>
      </c>
      <c r="G44" s="49">
        <f>E44*F44</f>
        <v>15000</v>
      </c>
      <c r="H44" s="50">
        <v>0.5</v>
      </c>
      <c r="I44" s="67">
        <f t="shared" si="14"/>
        <v>7500</v>
      </c>
      <c r="J44" s="86"/>
      <c r="K44" s="86"/>
      <c r="L44" s="86"/>
      <c r="M44" s="86"/>
      <c r="N44" s="23"/>
      <c r="O44" s="86"/>
      <c r="P44" s="86"/>
      <c r="Q44" s="86"/>
      <c r="R44" s="86"/>
    </row>
    <row r="45" customHeight="true" spans="8:9">
      <c r="H45" s="79"/>
      <c r="I45" s="79"/>
    </row>
  </sheetData>
  <autoFilter ref="A4:R44">
    <extLst/>
  </autoFilter>
  <mergeCells count="1">
    <mergeCell ref="A2:I2"/>
  </mergeCells>
  <conditionalFormatting sqref="C2:C65509">
    <cfRule type="duplicateValues" dxfId="0" priority="1" stopIfTrue="1"/>
  </conditionalFormatting>
  <printOptions horizontalCentered="true"/>
  <pageMargins left="0.393055555555556" right="0.196527777777778" top="0.590277777777778" bottom="0.590277777777778" header="0.314583333333333" footer="0.314583333333333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84"/>
  <sheetViews>
    <sheetView view="pageBreakPreview" zoomScaleNormal="100" zoomScaleSheetLayoutView="100" topLeftCell="A28" workbookViewId="0">
      <selection activeCell="D12" sqref="D12"/>
    </sheetView>
  </sheetViews>
  <sheetFormatPr defaultColWidth="9" defaultRowHeight="20.1" customHeight="true"/>
  <cols>
    <col min="1" max="1" width="7.3" style="19" customWidth="true"/>
    <col min="2" max="2" width="12.3" style="19"/>
    <col min="3" max="3" width="35.8" style="19"/>
    <col min="4" max="4" width="32.3" style="19" customWidth="true"/>
    <col min="5" max="5" width="12.3" style="20"/>
    <col min="6" max="6" width="8.8" style="21"/>
    <col min="7" max="7" width="12.3916666666667" style="22"/>
    <col min="8" max="8" width="9" style="19" hidden="true" customWidth="true"/>
    <col min="9" max="10" width="12.3" style="19" customWidth="true"/>
    <col min="11" max="11" width="43.2" style="23"/>
    <col min="12" max="12" width="3.7" style="19" customWidth="true"/>
    <col min="13" max="13" width="12.2" style="19" customWidth="true"/>
    <col min="14" max="17" width="11.2" style="19" customWidth="true"/>
    <col min="18" max="18" width="9.8" style="19" customWidth="true"/>
    <col min="19" max="19" width="25" style="23" hidden="true" customWidth="true"/>
    <col min="20" max="20" width="9.7" style="19" customWidth="true"/>
    <col min="21" max="22" width="10.5" style="19"/>
    <col min="23" max="23" width="12.3" style="19" customWidth="true"/>
    <col min="24" max="16384" width="9" style="19"/>
  </cols>
  <sheetData>
    <row r="1" ht="18" spans="1:12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3" t="s">
        <v>66</v>
      </c>
      <c r="L1" s="21"/>
    </row>
    <row r="2" ht="14.25" spans="1:12">
      <c r="A2" s="25"/>
      <c r="B2" s="25"/>
      <c r="C2" s="26"/>
      <c r="D2" s="27"/>
      <c r="E2" s="42"/>
      <c r="F2" s="25"/>
      <c r="G2" s="43"/>
      <c r="H2" s="44"/>
      <c r="I2" s="62" t="s">
        <v>2</v>
      </c>
      <c r="J2" s="62"/>
      <c r="L2" s="25"/>
    </row>
    <row r="3" ht="48" spans="1:23">
      <c r="A3" s="28" t="s">
        <v>3</v>
      </c>
      <c r="B3" s="28" t="s">
        <v>4</v>
      </c>
      <c r="C3" s="28" t="s">
        <v>5</v>
      </c>
      <c r="D3" s="28" t="s">
        <v>6</v>
      </c>
      <c r="E3" s="45" t="s">
        <v>7</v>
      </c>
      <c r="F3" s="28" t="s">
        <v>8</v>
      </c>
      <c r="G3" s="46" t="s">
        <v>9</v>
      </c>
      <c r="H3" s="28" t="s">
        <v>10</v>
      </c>
      <c r="I3" s="28" t="s">
        <v>67</v>
      </c>
      <c r="J3" s="63" t="s">
        <v>68</v>
      </c>
      <c r="K3" s="64" t="s">
        <v>69</v>
      </c>
      <c r="L3" s="65" t="s">
        <v>70</v>
      </c>
      <c r="M3" s="77" t="s">
        <v>71</v>
      </c>
      <c r="N3" s="78" t="s">
        <v>72</v>
      </c>
      <c r="O3" s="79"/>
      <c r="P3" s="79"/>
      <c r="Q3" s="79"/>
      <c r="R3" s="79"/>
      <c r="T3" s="79"/>
      <c r="U3" s="79"/>
      <c r="V3" s="79"/>
      <c r="W3" s="79"/>
    </row>
    <row r="4" ht="14.25" spans="1:23">
      <c r="A4" s="28"/>
      <c r="B4" s="28" t="s">
        <v>12</v>
      </c>
      <c r="C4" s="28"/>
      <c r="D4" s="28"/>
      <c r="E4" s="45"/>
      <c r="F4" s="28"/>
      <c r="G4" s="46">
        <f>G5+G17+G19+G21+G23+G28+G32+G40+G42</f>
        <v>1244333.74678099</v>
      </c>
      <c r="H4" s="46">
        <f t="shared" ref="H4:I4" si="0">H5+H17+H19+H21+H23+H28+H32+H40+H42</f>
        <v>0</v>
      </c>
      <c r="I4" s="46">
        <f t="shared" si="0"/>
        <v>461200</v>
      </c>
      <c r="J4" s="63"/>
      <c r="K4" s="66"/>
      <c r="L4" s="65"/>
      <c r="M4" s="77"/>
      <c r="N4" s="78"/>
      <c r="O4" s="79"/>
      <c r="P4" s="79"/>
      <c r="Q4" s="79"/>
      <c r="R4" s="79"/>
      <c r="T4" s="79"/>
      <c r="U4" s="79"/>
      <c r="V4" s="79"/>
      <c r="W4" s="79"/>
    </row>
    <row r="5" ht="14.25" spans="1:23">
      <c r="A5" s="28"/>
      <c r="B5" s="28" t="s">
        <v>13</v>
      </c>
      <c r="C5" s="28"/>
      <c r="D5" s="28"/>
      <c r="E5" s="45"/>
      <c r="F5" s="28"/>
      <c r="G5" s="46">
        <f>SUM(G6:G16)</f>
        <v>507647.336579665</v>
      </c>
      <c r="H5" s="28"/>
      <c r="I5" s="46">
        <f>SUM(I6:I16)</f>
        <v>164200</v>
      </c>
      <c r="J5" s="63"/>
      <c r="K5" s="64"/>
      <c r="L5" s="65"/>
      <c r="M5" s="77"/>
      <c r="N5" s="78"/>
      <c r="O5" s="79"/>
      <c r="P5" s="79"/>
      <c r="Q5" s="79"/>
      <c r="R5" s="79"/>
      <c r="T5" s="79"/>
      <c r="U5" s="79"/>
      <c r="V5" s="79"/>
      <c r="W5" s="79"/>
    </row>
    <row r="6" ht="55.5" spans="1:19">
      <c r="A6" s="29">
        <v>1</v>
      </c>
      <c r="B6" s="29" t="s">
        <v>14</v>
      </c>
      <c r="C6" s="5" t="s">
        <v>15</v>
      </c>
      <c r="D6" s="30" t="s">
        <v>16</v>
      </c>
      <c r="E6" s="47">
        <f>20790/18</f>
        <v>1155</v>
      </c>
      <c r="F6" s="48">
        <v>18</v>
      </c>
      <c r="G6" s="49">
        <f t="shared" ref="G6:G16" si="1">E6*F6</f>
        <v>20790</v>
      </c>
      <c r="H6" s="50">
        <v>0.5</v>
      </c>
      <c r="I6" s="67">
        <f t="shared" ref="I6:I14" si="2">MIN(ROUNDDOWN(E6*F6*H6,-2),30000)</f>
        <v>10300</v>
      </c>
      <c r="J6" s="68" t="str">
        <f>VLOOKUP(C6,Sheet1!A:B,2,0)</f>
        <v>﻿2062912</v>
      </c>
      <c r="K6" s="69"/>
      <c r="L6" s="65">
        <v>2</v>
      </c>
      <c r="M6" s="77">
        <f>VLOOKUP(B6,'区域代码 不打印'!A:B,2,0)</f>
        <v>1</v>
      </c>
      <c r="N6" s="78">
        <v>1</v>
      </c>
      <c r="O6" s="78"/>
      <c r="P6" s="78"/>
      <c r="Q6" s="78"/>
      <c r="R6" s="78"/>
      <c r="S6" s="19"/>
    </row>
    <row r="7" ht="14.25" spans="1:19">
      <c r="A7" s="31">
        <v>2</v>
      </c>
      <c r="B7" s="29" t="s">
        <v>14</v>
      </c>
      <c r="C7" s="32" t="s">
        <v>17</v>
      </c>
      <c r="D7" s="30" t="s">
        <v>18</v>
      </c>
      <c r="E7" s="47">
        <f>39800/18</f>
        <v>2211.11111111111</v>
      </c>
      <c r="F7" s="51">
        <v>18</v>
      </c>
      <c r="G7" s="49">
        <f t="shared" si="1"/>
        <v>39800</v>
      </c>
      <c r="H7" s="50">
        <v>0.5</v>
      </c>
      <c r="I7" s="67">
        <f t="shared" si="2"/>
        <v>19900</v>
      </c>
      <c r="J7" s="70">
        <f>VLOOKUP(C7,Sheet1!A:B,2,0)</f>
        <v>850305</v>
      </c>
      <c r="K7" s="71"/>
      <c r="L7" s="65">
        <v>17</v>
      </c>
      <c r="M7" s="77">
        <f>VLOOKUP(B7,'区域代码 不打印'!A:B,2,0)</f>
        <v>1</v>
      </c>
      <c r="N7" s="78">
        <v>1</v>
      </c>
      <c r="O7" s="78"/>
      <c r="P7" s="78"/>
      <c r="Q7" s="78"/>
      <c r="R7" s="78"/>
      <c r="S7" s="19"/>
    </row>
    <row r="8" ht="14.25" spans="1:23">
      <c r="A8" s="29">
        <v>3</v>
      </c>
      <c r="B8" s="29" t="s">
        <v>14</v>
      </c>
      <c r="C8" s="32" t="s">
        <v>19</v>
      </c>
      <c r="D8" s="30" t="s">
        <v>18</v>
      </c>
      <c r="E8" s="47">
        <f>39800/18</f>
        <v>2211.11111111111</v>
      </c>
      <c r="F8" s="51">
        <v>18</v>
      </c>
      <c r="G8" s="49">
        <f t="shared" si="1"/>
        <v>39800</v>
      </c>
      <c r="H8" s="50">
        <v>0.5</v>
      </c>
      <c r="I8" s="67">
        <f t="shared" si="2"/>
        <v>19900</v>
      </c>
      <c r="J8" s="70">
        <f>VLOOKUP(C8,Sheet1!A:B,2,0)</f>
        <v>486034</v>
      </c>
      <c r="K8" s="71"/>
      <c r="L8" s="65">
        <v>23</v>
      </c>
      <c r="M8" s="77">
        <f>VLOOKUP(B8,'区域代码 不打印'!A:B,2,0)</f>
        <v>1</v>
      </c>
      <c r="N8" s="78">
        <v>1</v>
      </c>
      <c r="O8" s="80"/>
      <c r="P8" s="80"/>
      <c r="Q8" s="80"/>
      <c r="R8" s="80"/>
      <c r="T8" s="80"/>
      <c r="U8" s="80"/>
      <c r="V8" s="79"/>
      <c r="W8" s="79"/>
    </row>
    <row r="9" ht="14.25" spans="1:23">
      <c r="A9" s="31">
        <v>4</v>
      </c>
      <c r="B9" s="33" t="s">
        <v>14</v>
      </c>
      <c r="C9" s="32" t="s">
        <v>20</v>
      </c>
      <c r="D9" s="30" t="s">
        <v>18</v>
      </c>
      <c r="E9" s="47">
        <f>39800/18</f>
        <v>2211.11111111111</v>
      </c>
      <c r="F9" s="51">
        <v>18</v>
      </c>
      <c r="G9" s="49">
        <f t="shared" si="1"/>
        <v>39800</v>
      </c>
      <c r="H9" s="50">
        <v>0.5</v>
      </c>
      <c r="I9" s="67">
        <f t="shared" si="2"/>
        <v>19900</v>
      </c>
      <c r="J9" s="70">
        <f>VLOOKUP(C9,Sheet1!A:B,2,0)</f>
        <v>3265710</v>
      </c>
      <c r="K9" s="71"/>
      <c r="L9" s="65">
        <v>24</v>
      </c>
      <c r="M9" s="77">
        <f>VLOOKUP(B9,'区域代码 不打印'!A:B,2,0)</f>
        <v>1</v>
      </c>
      <c r="N9" s="78">
        <v>1</v>
      </c>
      <c r="O9" s="80"/>
      <c r="P9" s="80"/>
      <c r="Q9" s="80"/>
      <c r="R9" s="80"/>
      <c r="T9" s="80"/>
      <c r="U9" s="80"/>
      <c r="V9" s="79"/>
      <c r="W9" s="79"/>
    </row>
    <row r="10" ht="14.25" spans="1:23">
      <c r="A10" s="29">
        <v>5</v>
      </c>
      <c r="B10" s="33" t="s">
        <v>14</v>
      </c>
      <c r="C10" s="32" t="s">
        <v>21</v>
      </c>
      <c r="D10" s="30" t="s">
        <v>22</v>
      </c>
      <c r="E10" s="47">
        <f>(51387-4000-371)/18</f>
        <v>2612</v>
      </c>
      <c r="F10" s="51">
        <v>18</v>
      </c>
      <c r="G10" s="49">
        <f t="shared" si="1"/>
        <v>47016</v>
      </c>
      <c r="H10" s="50">
        <v>0.5</v>
      </c>
      <c r="I10" s="67">
        <f t="shared" si="2"/>
        <v>23500</v>
      </c>
      <c r="J10" s="70">
        <f>VLOOKUP(C10,Sheet1!A:B,2,0)</f>
        <v>118167</v>
      </c>
      <c r="K10" s="71"/>
      <c r="L10" s="65">
        <v>28</v>
      </c>
      <c r="M10" s="77">
        <f>VLOOKUP(B10,'区域代码 不打印'!A:B,2,0)</f>
        <v>1</v>
      </c>
      <c r="N10" s="78">
        <v>1</v>
      </c>
      <c r="O10" s="80"/>
      <c r="P10" s="80"/>
      <c r="Q10" s="80"/>
      <c r="R10" s="80"/>
      <c r="T10" s="80"/>
      <c r="U10" s="80"/>
      <c r="V10" s="79"/>
      <c r="W10" s="79"/>
    </row>
    <row r="11" ht="14.25" spans="1:23">
      <c r="A11" s="31">
        <v>6</v>
      </c>
      <c r="B11" s="33" t="s">
        <v>14</v>
      </c>
      <c r="C11" s="32" t="s">
        <v>23</v>
      </c>
      <c r="D11" s="30" t="s">
        <v>22</v>
      </c>
      <c r="E11" s="47">
        <f>(14865-4000-371)/18</f>
        <v>583</v>
      </c>
      <c r="F11" s="51">
        <v>18</v>
      </c>
      <c r="G11" s="49">
        <f t="shared" si="1"/>
        <v>10494</v>
      </c>
      <c r="H11" s="50">
        <v>0.5</v>
      </c>
      <c r="I11" s="67">
        <f t="shared" si="2"/>
        <v>5200</v>
      </c>
      <c r="J11" s="70">
        <f>VLOOKUP(C11,Sheet1!A:B,2,0)</f>
        <v>508510</v>
      </c>
      <c r="K11" s="71"/>
      <c r="L11" s="65">
        <v>30</v>
      </c>
      <c r="M11" s="77">
        <f>VLOOKUP(B11,'区域代码 不打印'!A:B,2,0)</f>
        <v>1</v>
      </c>
      <c r="N11" s="78">
        <v>1</v>
      </c>
      <c r="O11" s="80"/>
      <c r="P11" s="80"/>
      <c r="Q11" s="80"/>
      <c r="R11" s="80"/>
      <c r="T11" s="80"/>
      <c r="U11" s="80"/>
      <c r="V11" s="79"/>
      <c r="W11" s="79"/>
    </row>
    <row r="12" ht="14.25" spans="1:23">
      <c r="A12" s="29">
        <v>7</v>
      </c>
      <c r="B12" s="29" t="s">
        <v>14</v>
      </c>
      <c r="C12" s="32" t="s">
        <v>24</v>
      </c>
      <c r="D12" s="30" t="s">
        <v>22</v>
      </c>
      <c r="E12" s="47">
        <f>(28000+1000)*32110/(28000+1000+4000+371)/18</f>
        <v>1550.23157165736</v>
      </c>
      <c r="F12" s="51">
        <v>18</v>
      </c>
      <c r="G12" s="49">
        <f t="shared" si="1"/>
        <v>27904.1682898325</v>
      </c>
      <c r="H12" s="50">
        <v>0.5</v>
      </c>
      <c r="I12" s="67">
        <f t="shared" si="2"/>
        <v>13900</v>
      </c>
      <c r="J12" s="70">
        <f>VLOOKUP(C12,Sheet1!A:B,2,0)</f>
        <v>18941089</v>
      </c>
      <c r="K12" s="71"/>
      <c r="L12" s="65">
        <v>33</v>
      </c>
      <c r="M12" s="77">
        <f>VLOOKUP(B12,'区域代码 不打印'!A:B,2,0)</f>
        <v>1</v>
      </c>
      <c r="N12" s="78">
        <v>1</v>
      </c>
      <c r="O12" s="80"/>
      <c r="P12" s="80"/>
      <c r="Q12" s="80"/>
      <c r="R12" s="80"/>
      <c r="T12" s="80"/>
      <c r="U12" s="80"/>
      <c r="V12" s="79"/>
      <c r="W12" s="79"/>
    </row>
    <row r="13" ht="55.5" spans="1:23">
      <c r="A13" s="31">
        <v>8</v>
      </c>
      <c r="B13" s="33" t="s">
        <v>14</v>
      </c>
      <c r="C13" s="32" t="s">
        <v>25</v>
      </c>
      <c r="D13" s="30" t="s">
        <v>22</v>
      </c>
      <c r="E13" s="47">
        <f>(28000+1000)*32110/(28000+1000+4000+371)/18</f>
        <v>1550.23157165736</v>
      </c>
      <c r="F13" s="51">
        <v>18</v>
      </c>
      <c r="G13" s="49">
        <f t="shared" si="1"/>
        <v>27904.1682898325</v>
      </c>
      <c r="H13" s="50">
        <v>0.5</v>
      </c>
      <c r="I13" s="67">
        <f t="shared" si="2"/>
        <v>13900</v>
      </c>
      <c r="J13" s="70" t="str">
        <f>VLOOKUP(C13,Sheet1!A:B,2,0)</f>
        <v>﻿82615</v>
      </c>
      <c r="K13" s="71"/>
      <c r="L13" s="65">
        <v>35</v>
      </c>
      <c r="M13" s="77">
        <f>VLOOKUP(B13,'区域代码 不打印'!A:B,2,0)</f>
        <v>1</v>
      </c>
      <c r="N13" s="78">
        <v>1</v>
      </c>
      <c r="O13" s="80"/>
      <c r="P13" s="80"/>
      <c r="Q13" s="80"/>
      <c r="R13" s="80"/>
      <c r="T13" s="80"/>
      <c r="U13" s="80"/>
      <c r="V13" s="79"/>
      <c r="W13" s="79"/>
    </row>
    <row r="14" ht="14.25" spans="1:23">
      <c r="A14" s="29">
        <v>9</v>
      </c>
      <c r="B14" s="29" t="s">
        <v>14</v>
      </c>
      <c r="C14" s="32" t="s">
        <v>26</v>
      </c>
      <c r="D14" s="30" t="s">
        <v>22</v>
      </c>
      <c r="E14" s="47">
        <f>23271/9</f>
        <v>2585.66666666667</v>
      </c>
      <c r="F14" s="51">
        <v>9</v>
      </c>
      <c r="G14" s="49">
        <f t="shared" si="1"/>
        <v>23271</v>
      </c>
      <c r="H14" s="50">
        <v>0.5</v>
      </c>
      <c r="I14" s="67">
        <f t="shared" si="2"/>
        <v>11600</v>
      </c>
      <c r="J14" s="70">
        <f>VLOOKUP(C14,Sheet1!A:B,2,0)</f>
        <v>643537</v>
      </c>
      <c r="K14" s="71"/>
      <c r="L14" s="65">
        <v>37</v>
      </c>
      <c r="M14" s="77">
        <f>VLOOKUP(B14,'区域代码 不打印'!A:B,2,0)</f>
        <v>1</v>
      </c>
      <c r="N14" s="78">
        <v>1</v>
      </c>
      <c r="O14" s="80"/>
      <c r="P14" s="80"/>
      <c r="Q14" s="80"/>
      <c r="R14" s="80"/>
      <c r="T14" s="80"/>
      <c r="U14" s="80"/>
      <c r="V14" s="79"/>
      <c r="W14" s="79"/>
    </row>
    <row r="15" ht="14.25" spans="1:23">
      <c r="A15" s="31">
        <v>10</v>
      </c>
      <c r="B15" s="33" t="s">
        <v>14</v>
      </c>
      <c r="C15" s="32" t="s">
        <v>27</v>
      </c>
      <c r="D15" s="30" t="s">
        <v>22</v>
      </c>
      <c r="E15" s="47">
        <f>(25359-4000-371)/36</f>
        <v>583</v>
      </c>
      <c r="F15" s="51">
        <v>36</v>
      </c>
      <c r="G15" s="49">
        <f t="shared" si="1"/>
        <v>20988</v>
      </c>
      <c r="H15" s="50">
        <v>0.5</v>
      </c>
      <c r="I15" s="67">
        <f>MIN(ROUNDDOWN(E15*18*H15,-2),30000)</f>
        <v>5200</v>
      </c>
      <c r="J15" s="70">
        <f>VLOOKUP(C15,Sheet1!A:B,2,0)</f>
        <v>7355973</v>
      </c>
      <c r="K15" s="72"/>
      <c r="L15" s="65">
        <v>58</v>
      </c>
      <c r="M15" s="77">
        <f>VLOOKUP(B15,'区域代码 不打印'!A:B,2,0)</f>
        <v>1</v>
      </c>
      <c r="N15" s="78">
        <v>1</v>
      </c>
      <c r="O15" s="80"/>
      <c r="P15" s="80"/>
      <c r="Q15" s="80"/>
      <c r="R15" s="80"/>
      <c r="T15" s="80"/>
      <c r="U15" s="80"/>
      <c r="V15" s="79"/>
      <c r="W15" s="79"/>
    </row>
    <row r="16" ht="14.25" spans="1:23">
      <c r="A16" s="29">
        <v>11</v>
      </c>
      <c r="B16" s="29" t="s">
        <v>14</v>
      </c>
      <c r="C16" s="32" t="s">
        <v>28</v>
      </c>
      <c r="D16" s="30" t="s">
        <v>22</v>
      </c>
      <c r="E16" s="47">
        <f>(214251-4000-371)/90</f>
        <v>2332</v>
      </c>
      <c r="F16" s="51">
        <v>90</v>
      </c>
      <c r="G16" s="49">
        <f t="shared" si="1"/>
        <v>209880</v>
      </c>
      <c r="H16" s="50">
        <v>0.5</v>
      </c>
      <c r="I16" s="67">
        <f>MIN(ROUNDDOWN(E16*18*H16,-2),30000)</f>
        <v>20900</v>
      </c>
      <c r="J16" s="70">
        <f>VLOOKUP(C16,Sheet1!A:B,2,0)</f>
        <v>13364700</v>
      </c>
      <c r="K16" s="71"/>
      <c r="L16" s="65">
        <v>64</v>
      </c>
      <c r="M16" s="77">
        <f>VLOOKUP(B16,'区域代码 不打印'!A:B,2,0)</f>
        <v>1</v>
      </c>
      <c r="N16" s="78">
        <v>1</v>
      </c>
      <c r="O16" s="80"/>
      <c r="P16" s="80"/>
      <c r="Q16" s="80"/>
      <c r="R16" s="80"/>
      <c r="T16" s="80"/>
      <c r="U16" s="80"/>
      <c r="V16" s="79"/>
      <c r="W16" s="79"/>
    </row>
    <row r="17" s="15" customFormat="true" ht="13.5" spans="1:23">
      <c r="A17" s="34"/>
      <c r="B17" s="34" t="s">
        <v>29</v>
      </c>
      <c r="C17" s="35"/>
      <c r="D17" s="36"/>
      <c r="E17" s="52"/>
      <c r="F17" s="53"/>
      <c r="G17" s="54">
        <f>SUM(G18)</f>
        <v>35767.2586757821</v>
      </c>
      <c r="H17" s="55"/>
      <c r="I17" s="54">
        <f>SUM(I18)</f>
        <v>17800</v>
      </c>
      <c r="J17" s="73"/>
      <c r="K17" s="72"/>
      <c r="L17" s="65"/>
      <c r="M17" s="81"/>
      <c r="N17" s="82"/>
      <c r="O17" s="83"/>
      <c r="P17" s="83"/>
      <c r="Q17" s="83"/>
      <c r="R17" s="83"/>
      <c r="S17" s="89"/>
      <c r="T17" s="83"/>
      <c r="U17" s="83"/>
      <c r="V17" s="93"/>
      <c r="W17" s="93"/>
    </row>
    <row r="18" ht="14.25" spans="1:23">
      <c r="A18" s="31">
        <v>12</v>
      </c>
      <c r="B18" s="33" t="s">
        <v>30</v>
      </c>
      <c r="C18" s="32" t="s">
        <v>31</v>
      </c>
      <c r="D18" s="30" t="s">
        <v>22</v>
      </c>
      <c r="E18" s="47">
        <f>(35000+1000)*40110/(35000+1000+4000+371)/18</f>
        <v>1987.06992643234</v>
      </c>
      <c r="F18" s="51">
        <v>18</v>
      </c>
      <c r="G18" s="49">
        <f>E18*F18</f>
        <v>35767.2586757821</v>
      </c>
      <c r="H18" s="50">
        <v>0.5</v>
      </c>
      <c r="I18" s="67">
        <f>MIN(ROUNDDOWN(E18*F18*H18,-2),30000)</f>
        <v>17800</v>
      </c>
      <c r="J18" s="70">
        <f>VLOOKUP(C18,Sheet1!A:B,2,0)</f>
        <v>437000</v>
      </c>
      <c r="K18" s="71"/>
      <c r="L18" s="65">
        <v>43</v>
      </c>
      <c r="M18" s="77">
        <f>VLOOKUP(B18,'区域代码 不打印'!A:B,2,0)</f>
        <v>4</v>
      </c>
      <c r="N18" s="78">
        <v>1</v>
      </c>
      <c r="O18" s="80"/>
      <c r="P18" s="80"/>
      <c r="Q18" s="80"/>
      <c r="R18" s="80"/>
      <c r="T18" s="80"/>
      <c r="U18" s="80"/>
      <c r="V18" s="79"/>
      <c r="W18" s="79"/>
    </row>
    <row r="19" s="15" customFormat="true" ht="13.5" spans="1:23">
      <c r="A19" s="28"/>
      <c r="B19" s="37" t="s">
        <v>32</v>
      </c>
      <c r="C19" s="35"/>
      <c r="D19" s="36"/>
      <c r="E19" s="52"/>
      <c r="F19" s="53"/>
      <c r="G19" s="54">
        <f>SUM(G20)</f>
        <v>150000</v>
      </c>
      <c r="H19" s="55"/>
      <c r="I19" s="54">
        <f>SUM(I20)</f>
        <v>30000</v>
      </c>
      <c r="J19" s="73"/>
      <c r="K19" s="72"/>
      <c r="L19" s="65"/>
      <c r="M19" s="81"/>
      <c r="N19" s="82"/>
      <c r="O19" s="83"/>
      <c r="P19" s="83"/>
      <c r="Q19" s="83"/>
      <c r="R19" s="83"/>
      <c r="S19" s="89"/>
      <c r="T19" s="83"/>
      <c r="U19" s="83"/>
      <c r="V19" s="93"/>
      <c r="W19" s="93"/>
    </row>
    <row r="20" ht="14.25" spans="1:23">
      <c r="A20" s="29">
        <v>13</v>
      </c>
      <c r="B20" s="33" t="s">
        <v>33</v>
      </c>
      <c r="C20" s="32" t="s">
        <v>34</v>
      </c>
      <c r="D20" s="30" t="s">
        <v>18</v>
      </c>
      <c r="E20" s="47">
        <f>150000/45</f>
        <v>3333.33333333333</v>
      </c>
      <c r="F20" s="51">
        <v>45</v>
      </c>
      <c r="G20" s="49">
        <f>E20*F20</f>
        <v>150000</v>
      </c>
      <c r="H20" s="50">
        <v>0.7</v>
      </c>
      <c r="I20" s="67">
        <f>MIN(ROUNDDOWN(E20*18*H20,-2),30000)</f>
        <v>30000</v>
      </c>
      <c r="J20" s="70">
        <f>VLOOKUP(C20,Sheet1!A:B,2,0)</f>
        <v>86</v>
      </c>
      <c r="K20" s="71" t="s">
        <v>73</v>
      </c>
      <c r="L20" s="65">
        <v>20</v>
      </c>
      <c r="M20" s="77">
        <f>VLOOKUP(B20,'区域代码 不打印'!A:B,2,0)</f>
        <v>5</v>
      </c>
      <c r="N20" s="78">
        <v>1</v>
      </c>
      <c r="O20" s="80"/>
      <c r="P20" s="80"/>
      <c r="Q20" s="80"/>
      <c r="R20" s="80"/>
      <c r="T20" s="80"/>
      <c r="U20" s="80"/>
      <c r="V20" s="79"/>
      <c r="W20" s="79"/>
    </row>
    <row r="21" s="15" customFormat="true" ht="13.5" spans="1:23">
      <c r="A21" s="34"/>
      <c r="B21" s="37" t="s">
        <v>35</v>
      </c>
      <c r="C21" s="35"/>
      <c r="D21" s="36"/>
      <c r="E21" s="52"/>
      <c r="F21" s="53"/>
      <c r="G21" s="54">
        <f>SUM(G22)</f>
        <v>39800</v>
      </c>
      <c r="H21" s="55"/>
      <c r="I21" s="54">
        <f>SUM(I22)</f>
        <v>19900</v>
      </c>
      <c r="J21" s="73"/>
      <c r="K21" s="72"/>
      <c r="L21" s="65"/>
      <c r="M21" s="81"/>
      <c r="N21" s="82"/>
      <c r="O21" s="83"/>
      <c r="P21" s="83"/>
      <c r="Q21" s="83"/>
      <c r="R21" s="83"/>
      <c r="S21" s="89"/>
      <c r="T21" s="83"/>
      <c r="U21" s="83"/>
      <c r="V21" s="93"/>
      <c r="W21" s="93"/>
    </row>
    <row r="22" ht="14.25" spans="1:23">
      <c r="A22" s="31">
        <v>14</v>
      </c>
      <c r="B22" s="33" t="s">
        <v>36</v>
      </c>
      <c r="C22" s="32" t="s">
        <v>37</v>
      </c>
      <c r="D22" s="30" t="s">
        <v>18</v>
      </c>
      <c r="E22" s="47">
        <f>39800/18</f>
        <v>2211.11111111111</v>
      </c>
      <c r="F22" s="51">
        <v>18</v>
      </c>
      <c r="G22" s="49">
        <f>E22*F22</f>
        <v>39800</v>
      </c>
      <c r="H22" s="50">
        <v>0.5</v>
      </c>
      <c r="I22" s="67">
        <f>MIN(ROUNDDOWN(E22*F22*H22,-2),30000)</f>
        <v>19900</v>
      </c>
      <c r="J22" s="70">
        <f>VLOOKUP(C22,Sheet1!A:B,2,0)</f>
        <v>225526</v>
      </c>
      <c r="K22" s="71"/>
      <c r="L22" s="65">
        <v>25</v>
      </c>
      <c r="M22" s="77">
        <f>VLOOKUP(B22,'区域代码 不打印'!A:B,2,0)</f>
        <v>8</v>
      </c>
      <c r="N22" s="78">
        <v>1</v>
      </c>
      <c r="O22" s="80"/>
      <c r="P22" s="80"/>
      <c r="Q22" s="80"/>
      <c r="R22" s="80"/>
      <c r="T22" s="80"/>
      <c r="U22" s="80"/>
      <c r="V22" s="79"/>
      <c r="W22" s="79"/>
    </row>
    <row r="23" s="15" customFormat="true" ht="13.5" spans="1:23">
      <c r="A23" s="28"/>
      <c r="B23" s="37" t="s">
        <v>38</v>
      </c>
      <c r="C23" s="35"/>
      <c r="D23" s="36"/>
      <c r="E23" s="52"/>
      <c r="F23" s="53"/>
      <c r="G23" s="54">
        <f>SUM(G24:G27)</f>
        <v>184371</v>
      </c>
      <c r="H23" s="55"/>
      <c r="I23" s="54">
        <f>SUM(I24:I27)</f>
        <v>89100</v>
      </c>
      <c r="J23" s="73"/>
      <c r="K23" s="72"/>
      <c r="L23" s="65"/>
      <c r="M23" s="81"/>
      <c r="N23" s="82"/>
      <c r="O23" s="83"/>
      <c r="P23" s="83"/>
      <c r="Q23" s="83"/>
      <c r="R23" s="83"/>
      <c r="S23" s="89"/>
      <c r="T23" s="83"/>
      <c r="U23" s="83"/>
      <c r="V23" s="93"/>
      <c r="W23" s="93"/>
    </row>
    <row r="24" ht="14.25" spans="1:23">
      <c r="A24" s="29">
        <v>15</v>
      </c>
      <c r="B24" s="33" t="s">
        <v>39</v>
      </c>
      <c r="C24" s="32" t="s">
        <v>40</v>
      </c>
      <c r="D24" s="30" t="s">
        <v>16</v>
      </c>
      <c r="E24" s="47">
        <f>39600/18</f>
        <v>2200</v>
      </c>
      <c r="F24" s="51">
        <v>18</v>
      </c>
      <c r="G24" s="49">
        <f>E24*F24</f>
        <v>39600</v>
      </c>
      <c r="H24" s="50">
        <v>0.5</v>
      </c>
      <c r="I24" s="67">
        <f>MIN(ROUNDDOWN(E24*F24*H24,-2),30000)</f>
        <v>19800</v>
      </c>
      <c r="J24" s="70">
        <f>VLOOKUP(C24,Sheet1!A:B,2,0)</f>
        <v>301937</v>
      </c>
      <c r="K24" s="71"/>
      <c r="L24" s="65">
        <v>11</v>
      </c>
      <c r="M24" s="77">
        <f>VLOOKUP(B24,'区域代码 不打印'!A:B,2,0)</f>
        <v>10</v>
      </c>
      <c r="N24" s="78">
        <v>1</v>
      </c>
      <c r="O24" s="80"/>
      <c r="P24" s="80"/>
      <c r="Q24" s="80"/>
      <c r="R24" s="80"/>
      <c r="S24" s="90"/>
      <c r="T24" s="80"/>
      <c r="U24" s="80"/>
      <c r="V24" s="79"/>
      <c r="W24" s="79"/>
    </row>
    <row r="25" ht="55.5" spans="1:23">
      <c r="A25" s="31">
        <v>16</v>
      </c>
      <c r="B25" s="33" t="s">
        <v>39</v>
      </c>
      <c r="C25" s="32" t="s">
        <v>41</v>
      </c>
      <c r="D25" s="30" t="s">
        <v>16</v>
      </c>
      <c r="E25" s="47">
        <f>39600/18</f>
        <v>2200</v>
      </c>
      <c r="F25" s="51">
        <v>18</v>
      </c>
      <c r="G25" s="49">
        <f>E25*F25</f>
        <v>39600</v>
      </c>
      <c r="H25" s="50">
        <v>0.5</v>
      </c>
      <c r="I25" s="67">
        <f>MIN(ROUNDDOWN(E25*F25*H25,-2),30000)</f>
        <v>19800</v>
      </c>
      <c r="J25" s="70" t="str">
        <f>VLOOKUP(C25,Sheet1!A:B,2,0)</f>
        <v>﻿110167</v>
      </c>
      <c r="K25" s="71"/>
      <c r="L25" s="65">
        <v>12</v>
      </c>
      <c r="M25" s="77">
        <f>VLOOKUP(B25,'区域代码 不打印'!A:B,2,0)</f>
        <v>10</v>
      </c>
      <c r="N25" s="78">
        <v>1</v>
      </c>
      <c r="O25" s="80"/>
      <c r="P25" s="80"/>
      <c r="Q25" s="80"/>
      <c r="R25" s="80"/>
      <c r="T25" s="80"/>
      <c r="U25" s="80"/>
      <c r="V25" s="79"/>
      <c r="W25" s="79"/>
    </row>
    <row r="26" ht="14.25" spans="1:23">
      <c r="A26" s="29">
        <v>17</v>
      </c>
      <c r="B26" s="33" t="s">
        <v>39</v>
      </c>
      <c r="C26" s="32" t="s">
        <v>42</v>
      </c>
      <c r="D26" s="30" t="s">
        <v>22</v>
      </c>
      <c r="E26" s="47">
        <f>66000/18</f>
        <v>3666.66666666667</v>
      </c>
      <c r="F26" s="51">
        <v>18</v>
      </c>
      <c r="G26" s="49">
        <f>E26*F26</f>
        <v>66000</v>
      </c>
      <c r="H26" s="50">
        <v>0.5</v>
      </c>
      <c r="I26" s="67">
        <f>MIN(ROUNDDOWN(E26*F26*H26,-2),30000)</f>
        <v>30000</v>
      </c>
      <c r="J26" s="70">
        <f>VLOOKUP(C26,Sheet1!A:B,2,0)</f>
        <v>5668</v>
      </c>
      <c r="K26" s="71"/>
      <c r="L26" s="65">
        <v>40</v>
      </c>
      <c r="M26" s="77">
        <f>VLOOKUP(B26,'区域代码 不打印'!A:B,2,0)</f>
        <v>10</v>
      </c>
      <c r="N26" s="78">
        <v>1</v>
      </c>
      <c r="O26" s="80"/>
      <c r="P26" s="80"/>
      <c r="Q26" s="80"/>
      <c r="R26" s="80"/>
      <c r="T26" s="80"/>
      <c r="U26" s="80"/>
      <c r="V26" s="79"/>
      <c r="W26" s="79"/>
    </row>
    <row r="27" ht="14.25" spans="1:23">
      <c r="A27" s="31">
        <v>18</v>
      </c>
      <c r="B27" s="33" t="s">
        <v>39</v>
      </c>
      <c r="C27" s="32" t="s">
        <v>43</v>
      </c>
      <c r="D27" s="30" t="s">
        <v>22</v>
      </c>
      <c r="E27" s="47">
        <f>39171/18</f>
        <v>2176.16666666667</v>
      </c>
      <c r="F27" s="51">
        <v>18</v>
      </c>
      <c r="G27" s="49">
        <f>E27*F27</f>
        <v>39171</v>
      </c>
      <c r="H27" s="50">
        <v>0.5</v>
      </c>
      <c r="I27" s="67">
        <f>MIN(ROUNDDOWN(E27*F27*H27,-2),30000)</f>
        <v>19500</v>
      </c>
      <c r="J27" s="70">
        <f>VLOOKUP(C27,Sheet1!A:B,2,0)</f>
        <v>101844</v>
      </c>
      <c r="K27" s="71"/>
      <c r="L27" s="65">
        <v>59</v>
      </c>
      <c r="M27" s="77">
        <f>VLOOKUP(B27,'区域代码 不打印'!A:B,2,0)</f>
        <v>10</v>
      </c>
      <c r="N27" s="78">
        <v>1</v>
      </c>
      <c r="O27" s="80"/>
      <c r="P27" s="80"/>
      <c r="Q27" s="80"/>
      <c r="R27" s="80"/>
      <c r="T27" s="80"/>
      <c r="U27" s="80"/>
      <c r="V27" s="79"/>
      <c r="W27" s="79"/>
    </row>
    <row r="28" s="15" customFormat="true" ht="13.5" spans="1:23">
      <c r="A28" s="28"/>
      <c r="B28" s="37" t="s">
        <v>44</v>
      </c>
      <c r="C28" s="35"/>
      <c r="D28" s="36"/>
      <c r="E28" s="52"/>
      <c r="F28" s="53"/>
      <c r="G28" s="54">
        <f>SUM(G29:G31)</f>
        <v>58124.1682898325</v>
      </c>
      <c r="H28" s="55"/>
      <c r="I28" s="54">
        <f>SUM(I29:I31)</f>
        <v>28900</v>
      </c>
      <c r="J28" s="73"/>
      <c r="K28" s="72"/>
      <c r="L28" s="65"/>
      <c r="M28" s="81"/>
      <c r="N28" s="82"/>
      <c r="O28" s="83"/>
      <c r="P28" s="83"/>
      <c r="Q28" s="83"/>
      <c r="R28" s="83"/>
      <c r="S28" s="89"/>
      <c r="T28" s="83"/>
      <c r="U28" s="83"/>
      <c r="V28" s="93"/>
      <c r="W28" s="93"/>
    </row>
    <row r="29" ht="14.25" spans="1:23">
      <c r="A29" s="29">
        <v>19</v>
      </c>
      <c r="B29" s="33" t="s">
        <v>45</v>
      </c>
      <c r="C29" s="32" t="s">
        <v>46</v>
      </c>
      <c r="D29" s="30" t="s">
        <v>22</v>
      </c>
      <c r="E29" s="47">
        <f>12000*1.06/9</f>
        <v>1413.33333333333</v>
      </c>
      <c r="F29" s="51">
        <v>9</v>
      </c>
      <c r="G29" s="49">
        <f>E29*F29</f>
        <v>12720</v>
      </c>
      <c r="H29" s="50">
        <v>0.5</v>
      </c>
      <c r="I29" s="67">
        <f>MIN(ROUNDDOWN(E29*F29*H29,-2),30000)</f>
        <v>6300</v>
      </c>
      <c r="J29" s="70">
        <f>VLOOKUP(C29,Sheet1!A:B,2,0)</f>
        <v>141595</v>
      </c>
      <c r="K29" s="71"/>
      <c r="L29" s="65">
        <v>38</v>
      </c>
      <c r="M29" s="77">
        <f>VLOOKUP(B29,'区域代码 不打印'!A:B,2,0)</f>
        <v>11</v>
      </c>
      <c r="N29" s="78">
        <v>1</v>
      </c>
      <c r="O29" s="80"/>
      <c r="P29" s="80"/>
      <c r="Q29" s="80"/>
      <c r="R29" s="80"/>
      <c r="T29" s="80"/>
      <c r="U29" s="80"/>
      <c r="V29" s="79"/>
      <c r="W29" s="79"/>
    </row>
    <row r="30" ht="14.25" spans="1:23">
      <c r="A30" s="31">
        <v>20</v>
      </c>
      <c r="B30" s="33" t="s">
        <v>45</v>
      </c>
      <c r="C30" s="32" t="s">
        <v>47</v>
      </c>
      <c r="D30" s="30" t="s">
        <v>22</v>
      </c>
      <c r="E30" s="47">
        <f>(21871-4000-371)/9</f>
        <v>1944.44444444444</v>
      </c>
      <c r="F30" s="51">
        <v>9</v>
      </c>
      <c r="G30" s="49">
        <f>E30*F30</f>
        <v>17500</v>
      </c>
      <c r="H30" s="50">
        <v>0.5</v>
      </c>
      <c r="I30" s="67">
        <f>MIN(ROUNDDOWN(E30*F30*H30,-2),30000)</f>
        <v>8700</v>
      </c>
      <c r="J30" s="70">
        <f>VLOOKUP(C30,Sheet1!A:B,2,0)</f>
        <v>145361</v>
      </c>
      <c r="K30" s="72"/>
      <c r="L30" s="65">
        <v>49</v>
      </c>
      <c r="M30" s="77">
        <f>VLOOKUP(B30,'区域代码 不打印'!A:B,2,0)</f>
        <v>11</v>
      </c>
      <c r="N30" s="78">
        <v>1</v>
      </c>
      <c r="O30" s="80"/>
      <c r="P30" s="80"/>
      <c r="Q30" s="80"/>
      <c r="R30" s="80"/>
      <c r="S30" s="90"/>
      <c r="T30" s="80"/>
      <c r="U30" s="80"/>
      <c r="V30" s="79"/>
      <c r="W30" s="79"/>
    </row>
    <row r="31" ht="14.25" spans="1:23">
      <c r="A31" s="29">
        <v>21</v>
      </c>
      <c r="B31" s="33" t="s">
        <v>45</v>
      </c>
      <c r="C31" s="32" t="s">
        <v>48</v>
      </c>
      <c r="D31" s="30" t="s">
        <v>22</v>
      </c>
      <c r="E31" s="47">
        <f>(28000+1000)*32110/(28000+1000+4000+371)/18</f>
        <v>1550.23157165736</v>
      </c>
      <c r="F31" s="51">
        <v>18</v>
      </c>
      <c r="G31" s="49">
        <f>E31*F31</f>
        <v>27904.1682898325</v>
      </c>
      <c r="H31" s="50">
        <v>0.5</v>
      </c>
      <c r="I31" s="67">
        <f>MIN(ROUNDDOWN(E31*F31*H31,-2),30000)</f>
        <v>13900</v>
      </c>
      <c r="J31" s="70">
        <f>VLOOKUP(C31,Sheet1!A:B,2,0)</f>
        <v>2116573</v>
      </c>
      <c r="K31" s="72"/>
      <c r="L31" s="65">
        <v>51</v>
      </c>
      <c r="M31" s="77">
        <f>VLOOKUP(B31,'区域代码 不打印'!A:B,2,0)</f>
        <v>11</v>
      </c>
      <c r="N31" s="78">
        <v>1</v>
      </c>
      <c r="O31" s="80"/>
      <c r="P31" s="80"/>
      <c r="Q31" s="80"/>
      <c r="R31" s="80"/>
      <c r="S31" s="90"/>
      <c r="T31" s="80"/>
      <c r="U31" s="80"/>
      <c r="V31" s="79"/>
      <c r="W31" s="79"/>
    </row>
    <row r="32" s="15" customFormat="true" ht="13.5" spans="1:23">
      <c r="A32" s="34"/>
      <c r="B32" s="37" t="s">
        <v>49</v>
      </c>
      <c r="C32" s="35"/>
      <c r="D32" s="36"/>
      <c r="E32" s="52"/>
      <c r="F32" s="53"/>
      <c r="G32" s="54">
        <f>SUM(G33:G39)</f>
        <v>217856.724559929</v>
      </c>
      <c r="H32" s="55"/>
      <c r="I32" s="54">
        <f>SUM(I33:I39)</f>
        <v>86000</v>
      </c>
      <c r="J32" s="73"/>
      <c r="K32" s="72"/>
      <c r="L32" s="65"/>
      <c r="M32" s="81"/>
      <c r="N32" s="82"/>
      <c r="O32" s="83"/>
      <c r="P32" s="83"/>
      <c r="Q32" s="83"/>
      <c r="R32" s="83"/>
      <c r="S32" s="91"/>
      <c r="T32" s="83"/>
      <c r="U32" s="83"/>
      <c r="V32" s="93"/>
      <c r="W32" s="93"/>
    </row>
    <row r="33" ht="14.25" spans="1:23">
      <c r="A33" s="31">
        <v>22</v>
      </c>
      <c r="B33" s="31" t="s">
        <v>50</v>
      </c>
      <c r="C33" s="38" t="s">
        <v>51</v>
      </c>
      <c r="D33" s="30" t="s">
        <v>52</v>
      </c>
      <c r="E33" s="56">
        <f>ROUND(49470/36,2)</f>
        <v>1374.17</v>
      </c>
      <c r="F33" s="57">
        <v>36</v>
      </c>
      <c r="G33" s="49">
        <f>ROUND(E33*F33,0)</f>
        <v>49470</v>
      </c>
      <c r="H33" s="50">
        <v>0.5</v>
      </c>
      <c r="I33" s="67">
        <f>MIN(ROUNDDOWN(E33*18*H33,-2),30000)</f>
        <v>12300</v>
      </c>
      <c r="J33" s="70">
        <f>VLOOKUP(C33,Sheet1!A:B,2,0)</f>
        <v>3296954</v>
      </c>
      <c r="K33" s="64"/>
      <c r="L33" s="65">
        <v>1</v>
      </c>
      <c r="M33" s="77">
        <f>VLOOKUP(B33,'区域代码 不打印'!A:B,2,0)</f>
        <v>12</v>
      </c>
      <c r="N33" s="78">
        <v>1</v>
      </c>
      <c r="O33" s="80"/>
      <c r="P33" s="80"/>
      <c r="Q33" s="80"/>
      <c r="R33" s="80"/>
      <c r="T33" s="80"/>
      <c r="U33" s="80"/>
      <c r="V33" s="79"/>
      <c r="W33" s="79"/>
    </row>
    <row r="34" ht="14.25" spans="1:23">
      <c r="A34" s="29">
        <v>23</v>
      </c>
      <c r="B34" s="29" t="s">
        <v>50</v>
      </c>
      <c r="C34" s="5" t="s">
        <v>53</v>
      </c>
      <c r="D34" s="30" t="s">
        <v>52</v>
      </c>
      <c r="E34" s="47">
        <f>22500/12*0.85</f>
        <v>1593.75</v>
      </c>
      <c r="F34" s="48">
        <v>12</v>
      </c>
      <c r="G34" s="49">
        <f t="shared" ref="G34:G39" si="3">E34*F34</f>
        <v>19125</v>
      </c>
      <c r="H34" s="50">
        <v>0.5</v>
      </c>
      <c r="I34" s="67">
        <f>MIN(ROUNDDOWN(E34*F34*H34,-2),30000)</f>
        <v>9500</v>
      </c>
      <c r="J34" s="70">
        <f>VLOOKUP(C34,Sheet1!A:B,2,0)</f>
        <v>144683</v>
      </c>
      <c r="K34" s="71"/>
      <c r="L34" s="65">
        <v>9</v>
      </c>
      <c r="M34" s="77">
        <f>VLOOKUP(B34,'区域代码 不打印'!A:B,2,0)</f>
        <v>12</v>
      </c>
      <c r="N34" s="78">
        <v>1</v>
      </c>
      <c r="O34" s="80"/>
      <c r="P34" s="80"/>
      <c r="Q34" s="80"/>
      <c r="R34" s="80"/>
      <c r="T34" s="80"/>
      <c r="U34" s="80"/>
      <c r="V34" s="79"/>
      <c r="W34" s="79"/>
    </row>
    <row r="35" ht="14.25" spans="1:23">
      <c r="A35" s="31">
        <v>24</v>
      </c>
      <c r="B35" s="33" t="s">
        <v>50</v>
      </c>
      <c r="C35" s="32" t="s">
        <v>54</v>
      </c>
      <c r="D35" s="30" t="s">
        <v>16</v>
      </c>
      <c r="E35" s="47">
        <f>32400/36</f>
        <v>900</v>
      </c>
      <c r="F35" s="51">
        <v>36</v>
      </c>
      <c r="G35" s="49">
        <f t="shared" si="3"/>
        <v>32400</v>
      </c>
      <c r="H35" s="50">
        <v>0.5</v>
      </c>
      <c r="I35" s="67">
        <f>MIN(ROUNDDOWN(E35*18*H35,-2),30000)</f>
        <v>8100</v>
      </c>
      <c r="J35" s="70">
        <f>VLOOKUP(C35,Sheet1!A:B,2,0)</f>
        <v>27578826</v>
      </c>
      <c r="K35" s="71" t="s">
        <v>74</v>
      </c>
      <c r="L35" s="65">
        <v>10</v>
      </c>
      <c r="M35" s="77">
        <f>VLOOKUP(B35,'区域代码 不打印'!A:B,2,0)</f>
        <v>12</v>
      </c>
      <c r="N35" s="78">
        <v>1</v>
      </c>
      <c r="O35" s="80"/>
      <c r="P35" s="80"/>
      <c r="Q35" s="80"/>
      <c r="R35" s="80"/>
      <c r="T35" s="80"/>
      <c r="U35" s="80"/>
      <c r="V35" s="79"/>
      <c r="W35" s="79"/>
    </row>
    <row r="36" ht="14.25" spans="1:23">
      <c r="A36" s="29">
        <v>25</v>
      </c>
      <c r="B36" s="33" t="s">
        <v>50</v>
      </c>
      <c r="C36" s="32" t="s">
        <v>55</v>
      </c>
      <c r="D36" s="30" t="s">
        <v>52</v>
      </c>
      <c r="E36" s="47">
        <f>1875*0.85*(37689/46650)</f>
        <v>1287.60651125402</v>
      </c>
      <c r="F36" s="51">
        <v>24</v>
      </c>
      <c r="G36" s="49">
        <f t="shared" si="3"/>
        <v>30902.5562700965</v>
      </c>
      <c r="H36" s="50">
        <v>0.7</v>
      </c>
      <c r="I36" s="67">
        <f>MIN(ROUNDDOWN(E36*18*H36,-2),30000)</f>
        <v>16200</v>
      </c>
      <c r="J36" s="70">
        <f>VLOOKUP(C36,Sheet1!A:B,2,0)</f>
        <v>9546005</v>
      </c>
      <c r="K36" s="71" t="s">
        <v>75</v>
      </c>
      <c r="L36" s="65">
        <v>14</v>
      </c>
      <c r="M36" s="77">
        <f>VLOOKUP(B36,'区域代码 不打印'!A:B,2,0)</f>
        <v>12</v>
      </c>
      <c r="N36" s="78">
        <v>1</v>
      </c>
      <c r="O36" s="80"/>
      <c r="P36" s="80"/>
      <c r="Q36" s="80"/>
      <c r="R36" s="80"/>
      <c r="T36" s="80"/>
      <c r="U36" s="80"/>
      <c r="V36" s="79"/>
      <c r="W36" s="79"/>
    </row>
    <row r="37" ht="14.25" spans="1:23">
      <c r="A37" s="31">
        <v>26</v>
      </c>
      <c r="B37" s="33" t="s">
        <v>50</v>
      </c>
      <c r="C37" s="32" t="s">
        <v>56</v>
      </c>
      <c r="D37" s="30" t="s">
        <v>52</v>
      </c>
      <c r="E37" s="47">
        <f>31407.5/20</f>
        <v>1570.375</v>
      </c>
      <c r="F37" s="51">
        <v>20</v>
      </c>
      <c r="G37" s="49">
        <f t="shared" si="3"/>
        <v>31407.5</v>
      </c>
      <c r="H37" s="50">
        <v>0.5</v>
      </c>
      <c r="I37" s="67">
        <f>MIN(ROUNDDOWN(E37*18*H37,-2),30000)</f>
        <v>14100</v>
      </c>
      <c r="J37" s="70">
        <f>VLOOKUP(C37,Sheet1!A:B,2,0)</f>
        <v>598302</v>
      </c>
      <c r="K37" s="71"/>
      <c r="L37" s="65">
        <v>15</v>
      </c>
      <c r="M37" s="77">
        <f>VLOOKUP(B37,'区域代码 不打印'!A:B,2,0)</f>
        <v>12</v>
      </c>
      <c r="N37" s="78">
        <v>1</v>
      </c>
      <c r="O37" s="79"/>
      <c r="P37" s="79"/>
      <c r="Q37" s="79"/>
      <c r="R37" s="79"/>
      <c r="T37" s="80"/>
      <c r="U37" s="80"/>
      <c r="V37" s="79"/>
      <c r="W37" s="79"/>
    </row>
    <row r="38" ht="14.25" spans="1:23">
      <c r="A38" s="29">
        <v>27</v>
      </c>
      <c r="B38" s="33" t="s">
        <v>50</v>
      </c>
      <c r="C38" s="32" t="s">
        <v>57</v>
      </c>
      <c r="D38" s="30" t="s">
        <v>22</v>
      </c>
      <c r="E38" s="47">
        <f>(28000+1000)*32110/(28000+1000+4000+371)/18</f>
        <v>1550.23157165736</v>
      </c>
      <c r="F38" s="51">
        <v>18</v>
      </c>
      <c r="G38" s="49">
        <f t="shared" si="3"/>
        <v>27904.1682898325</v>
      </c>
      <c r="H38" s="50">
        <v>0.5</v>
      </c>
      <c r="I38" s="67">
        <f>MIN(ROUNDDOWN(E38*F38*H38,-2),30000)</f>
        <v>13900</v>
      </c>
      <c r="J38" s="70">
        <f>VLOOKUP(C38,Sheet1!A:B,2,0)</f>
        <v>16641559</v>
      </c>
      <c r="K38" s="71"/>
      <c r="L38" s="65">
        <v>21</v>
      </c>
      <c r="M38" s="77">
        <f>VLOOKUP(B38,'区域代码 不打印'!A:B,2,0)</f>
        <v>12</v>
      </c>
      <c r="N38" s="78">
        <v>1</v>
      </c>
      <c r="O38" s="80"/>
      <c r="P38" s="80"/>
      <c r="Q38" s="80"/>
      <c r="R38" s="80"/>
      <c r="T38" s="79"/>
      <c r="U38" s="79"/>
      <c r="V38" s="79"/>
      <c r="W38" s="79"/>
    </row>
    <row r="39" s="16" customFormat="true" ht="13.5" spans="1:23">
      <c r="A39" s="31">
        <v>28</v>
      </c>
      <c r="B39" s="33" t="s">
        <v>50</v>
      </c>
      <c r="C39" s="32" t="s">
        <v>58</v>
      </c>
      <c r="D39" s="30" t="s">
        <v>52</v>
      </c>
      <c r="E39" s="47">
        <f>26647.5/20</f>
        <v>1332.375</v>
      </c>
      <c r="F39" s="51">
        <v>20</v>
      </c>
      <c r="G39" s="49">
        <f t="shared" si="3"/>
        <v>26647.5</v>
      </c>
      <c r="H39" s="50">
        <v>0.5</v>
      </c>
      <c r="I39" s="67">
        <f>MIN(ROUNDDOWN(E39*18*H39,-2),30000)</f>
        <v>11900</v>
      </c>
      <c r="J39" s="70">
        <f>VLOOKUP(C39,Sheet1!A:B,2,0)</f>
        <v>69920</v>
      </c>
      <c r="K39" s="71" t="s">
        <v>76</v>
      </c>
      <c r="L39" s="65">
        <v>57</v>
      </c>
      <c r="M39" s="77">
        <f>VLOOKUP(B39,'区域代码 不打印'!A:B,2,0)</f>
        <v>12</v>
      </c>
      <c r="N39" s="78">
        <v>1</v>
      </c>
      <c r="O39" s="84"/>
      <c r="P39" s="84"/>
      <c r="Q39" s="84"/>
      <c r="R39" s="84"/>
      <c r="S39" s="23"/>
      <c r="T39" s="86"/>
      <c r="U39" s="86"/>
      <c r="V39" s="86"/>
      <c r="W39" s="86"/>
    </row>
    <row r="40" s="17" customFormat="true" ht="13.5" spans="1:23">
      <c r="A40" s="28"/>
      <c r="B40" s="37" t="s">
        <v>59</v>
      </c>
      <c r="C40" s="35"/>
      <c r="D40" s="36"/>
      <c r="E40" s="52"/>
      <c r="F40" s="53"/>
      <c r="G40" s="54">
        <f>SUM(G41)</f>
        <v>35767.2586757821</v>
      </c>
      <c r="H40" s="55"/>
      <c r="I40" s="54">
        <f>SUM(I41)</f>
        <v>17800</v>
      </c>
      <c r="J40" s="73"/>
      <c r="K40" s="72"/>
      <c r="L40" s="65"/>
      <c r="M40" s="81"/>
      <c r="N40" s="82"/>
      <c r="O40" s="85"/>
      <c r="P40" s="85"/>
      <c r="Q40" s="85"/>
      <c r="R40" s="85"/>
      <c r="S40" s="89"/>
      <c r="T40" s="92"/>
      <c r="U40" s="92"/>
      <c r="V40" s="92"/>
      <c r="W40" s="92"/>
    </row>
    <row r="41" ht="14.25" spans="1:23">
      <c r="A41" s="29">
        <v>29</v>
      </c>
      <c r="B41" s="33" t="s">
        <v>60</v>
      </c>
      <c r="C41" s="32" t="s">
        <v>61</v>
      </c>
      <c r="D41" s="30" t="s">
        <v>22</v>
      </c>
      <c r="E41" s="47">
        <f>(35000+1000)*40110/(35000+1000+4000+371)/18</f>
        <v>1987.06992643234</v>
      </c>
      <c r="F41" s="51">
        <v>18</v>
      </c>
      <c r="G41" s="49">
        <f>E41*F41</f>
        <v>35767.2586757821</v>
      </c>
      <c r="H41" s="50">
        <v>0.5</v>
      </c>
      <c r="I41" s="67">
        <f>MIN(ROUNDDOWN(E41*F41*H41,-2),30000)</f>
        <v>17800</v>
      </c>
      <c r="J41" s="70">
        <f>VLOOKUP(C41,Sheet1!A:B,2,0)</f>
        <v>682026</v>
      </c>
      <c r="K41" s="71"/>
      <c r="L41" s="65">
        <v>36</v>
      </c>
      <c r="M41" s="77">
        <f>VLOOKUP(B41,'区域代码 不打印'!A:B,2,0)</f>
        <v>15</v>
      </c>
      <c r="N41" s="78">
        <v>1</v>
      </c>
      <c r="O41" s="80"/>
      <c r="P41" s="80"/>
      <c r="Q41" s="80"/>
      <c r="R41" s="80"/>
      <c r="T41" s="79"/>
      <c r="U41" s="79"/>
      <c r="V41" s="79"/>
      <c r="W41" s="79"/>
    </row>
    <row r="42" s="15" customFormat="true" ht="13.5" spans="1:23">
      <c r="A42" s="34"/>
      <c r="B42" s="37" t="s">
        <v>62</v>
      </c>
      <c r="C42" s="35"/>
      <c r="D42" s="36"/>
      <c r="E42" s="52"/>
      <c r="F42" s="53"/>
      <c r="G42" s="54">
        <f>SUM(G43)</f>
        <v>15000</v>
      </c>
      <c r="H42" s="55"/>
      <c r="I42" s="54">
        <f>SUM(I43)</f>
        <v>7500</v>
      </c>
      <c r="J42" s="73"/>
      <c r="K42" s="72"/>
      <c r="L42" s="65"/>
      <c r="M42" s="81"/>
      <c r="N42" s="82"/>
      <c r="O42" s="83"/>
      <c r="P42" s="83"/>
      <c r="Q42" s="83"/>
      <c r="R42" s="83"/>
      <c r="S42" s="89"/>
      <c r="T42" s="93"/>
      <c r="U42" s="93"/>
      <c r="V42" s="93"/>
      <c r="W42" s="93"/>
    </row>
    <row r="43" s="16" customFormat="true" ht="13.5" spans="1:23">
      <c r="A43" s="31">
        <v>30</v>
      </c>
      <c r="B43" s="33" t="s">
        <v>63</v>
      </c>
      <c r="C43" s="32" t="s">
        <v>64</v>
      </c>
      <c r="D43" s="30" t="s">
        <v>18</v>
      </c>
      <c r="E43" s="47">
        <f>15000/9</f>
        <v>1666.66666666667</v>
      </c>
      <c r="F43" s="51">
        <v>9</v>
      </c>
      <c r="G43" s="49">
        <f>E43*F43</f>
        <v>15000</v>
      </c>
      <c r="H43" s="50">
        <v>0.5</v>
      </c>
      <c r="I43" s="67">
        <f>MIN(ROUNDDOWN(E43*F43*H43,-2),30000)</f>
        <v>7500</v>
      </c>
      <c r="J43" s="70">
        <f>VLOOKUP(C43,Sheet1!A:B,2,0)</f>
        <v>2971689</v>
      </c>
      <c r="K43" s="71"/>
      <c r="L43" s="65">
        <v>18</v>
      </c>
      <c r="M43" s="77">
        <f>VLOOKUP(B43,'区域代码 不打印'!A:B,2,0)</f>
        <v>16</v>
      </c>
      <c r="N43" s="78">
        <v>1</v>
      </c>
      <c r="O43" s="86"/>
      <c r="P43" s="86"/>
      <c r="Q43" s="86"/>
      <c r="R43" s="86"/>
      <c r="S43" s="23"/>
      <c r="T43" s="86"/>
      <c r="U43" s="86"/>
      <c r="V43" s="86"/>
      <c r="W43" s="86"/>
    </row>
    <row r="44" s="16" customFormat="true" ht="13.5" spans="1:23">
      <c r="A44" s="31"/>
      <c r="B44" s="33"/>
      <c r="C44" s="32"/>
      <c r="D44" s="30"/>
      <c r="E44" s="47"/>
      <c r="F44" s="51"/>
      <c r="G44" s="49"/>
      <c r="H44" s="50"/>
      <c r="I44" s="67"/>
      <c r="J44" s="70"/>
      <c r="K44" s="71"/>
      <c r="L44" s="65"/>
      <c r="M44" s="77"/>
      <c r="N44" s="78"/>
      <c r="O44" s="86"/>
      <c r="P44" s="86"/>
      <c r="Q44" s="86"/>
      <c r="R44" s="86"/>
      <c r="S44" s="23"/>
      <c r="T44" s="86"/>
      <c r="U44" s="86"/>
      <c r="V44" s="86"/>
      <c r="W44" s="86"/>
    </row>
    <row r="45" s="16" customFormat="true" ht="13.5" spans="1:23">
      <c r="A45" s="31"/>
      <c r="B45" s="33"/>
      <c r="C45" s="32"/>
      <c r="D45" s="30"/>
      <c r="E45" s="47"/>
      <c r="F45" s="51"/>
      <c r="G45" s="49"/>
      <c r="H45" s="50"/>
      <c r="I45" s="67"/>
      <c r="J45" s="70"/>
      <c r="K45" s="71"/>
      <c r="L45" s="65"/>
      <c r="M45" s="77"/>
      <c r="N45" s="78"/>
      <c r="O45" s="86"/>
      <c r="P45" s="86"/>
      <c r="Q45" s="86"/>
      <c r="R45" s="86"/>
      <c r="S45" s="23"/>
      <c r="T45" s="86"/>
      <c r="U45" s="86"/>
      <c r="V45" s="86"/>
      <c r="W45" s="86"/>
    </row>
    <row r="46" s="16" customFormat="true" ht="13.5" spans="1:23">
      <c r="A46" s="31"/>
      <c r="B46" s="33"/>
      <c r="C46" s="32"/>
      <c r="D46" s="30"/>
      <c r="E46" s="47"/>
      <c r="F46" s="51"/>
      <c r="G46" s="49"/>
      <c r="H46" s="50"/>
      <c r="I46" s="67"/>
      <c r="J46" s="70"/>
      <c r="K46" s="71"/>
      <c r="L46" s="65"/>
      <c r="M46" s="77"/>
      <c r="N46" s="78"/>
      <c r="O46" s="86"/>
      <c r="P46" s="86"/>
      <c r="Q46" s="86"/>
      <c r="R46" s="86"/>
      <c r="S46" s="23"/>
      <c r="T46" s="86"/>
      <c r="U46" s="86"/>
      <c r="V46" s="86"/>
      <c r="W46" s="86"/>
    </row>
    <row r="47" ht="14.25" spans="1:23">
      <c r="A47" s="29">
        <v>1</v>
      </c>
      <c r="B47" s="29" t="s">
        <v>14</v>
      </c>
      <c r="C47" s="32" t="s">
        <v>77</v>
      </c>
      <c r="D47" s="30" t="s">
        <v>18</v>
      </c>
      <c r="E47" s="47">
        <f>19800/9</f>
        <v>2200</v>
      </c>
      <c r="F47" s="51">
        <v>9</v>
      </c>
      <c r="G47" s="49">
        <f t="shared" ref="G47:G66" si="4">E47*F47</f>
        <v>19800</v>
      </c>
      <c r="H47" s="50">
        <v>0.5</v>
      </c>
      <c r="I47" s="74">
        <f>MIN(ROUNDDOWN(E47*F47*H47,-2),30000)</f>
        <v>9900</v>
      </c>
      <c r="J47" s="70">
        <f>VLOOKUP(C47,Sheet1!A:B,2,0)</f>
        <v>0</v>
      </c>
      <c r="K47" s="71"/>
      <c r="L47" s="65">
        <v>22</v>
      </c>
      <c r="M47" s="77">
        <f>VLOOKUP(B47,'区域代码 不打印'!A:B,2,0)</f>
        <v>1</v>
      </c>
      <c r="N47" s="80">
        <v>2</v>
      </c>
      <c r="O47" s="79"/>
      <c r="P47" s="79"/>
      <c r="Q47" s="79"/>
      <c r="R47" s="79"/>
      <c r="T47" s="79"/>
      <c r="U47" s="79"/>
      <c r="V47" s="79"/>
      <c r="W47" s="79"/>
    </row>
    <row r="48" s="16" customFormat="true" ht="13.5" spans="1:23">
      <c r="A48" s="29">
        <v>2</v>
      </c>
      <c r="B48" s="33" t="s">
        <v>14</v>
      </c>
      <c r="C48" s="32" t="s">
        <v>78</v>
      </c>
      <c r="D48" s="30" t="s">
        <v>22</v>
      </c>
      <c r="E48" s="47">
        <f>(20271-4000-371)/9</f>
        <v>1766.66666666667</v>
      </c>
      <c r="F48" s="51">
        <v>9</v>
      </c>
      <c r="G48" s="49">
        <f t="shared" si="4"/>
        <v>15900</v>
      </c>
      <c r="H48" s="50">
        <v>0.5</v>
      </c>
      <c r="I48" s="74">
        <f>MIN(ROUNDDOWN(E48*F48*H48,-2),30000)</f>
        <v>7900</v>
      </c>
      <c r="J48" s="70">
        <f>VLOOKUP(C48,Sheet1!A:B,2,0)</f>
        <v>0</v>
      </c>
      <c r="K48" s="71"/>
      <c r="L48" s="65">
        <v>26</v>
      </c>
      <c r="M48" s="77">
        <f>VLOOKUP(B48,'区域代码 不打印'!A:B,2,0)</f>
        <v>1</v>
      </c>
      <c r="N48" s="80">
        <v>2</v>
      </c>
      <c r="O48" s="84"/>
      <c r="P48" s="84"/>
      <c r="Q48" s="84"/>
      <c r="R48" s="84"/>
      <c r="S48" s="23"/>
      <c r="T48" s="86"/>
      <c r="U48" s="86"/>
      <c r="V48" s="86"/>
      <c r="W48" s="86"/>
    </row>
    <row r="49" ht="14.25" spans="1:23">
      <c r="A49" s="29">
        <v>3</v>
      </c>
      <c r="B49" s="39" t="s">
        <v>14</v>
      </c>
      <c r="C49" s="40" t="s">
        <v>79</v>
      </c>
      <c r="D49" s="41" t="s">
        <v>22</v>
      </c>
      <c r="E49" s="58">
        <f>(17500+1000)*21890/(17500+1000+4000+371)/9</f>
        <v>1967.38713266193</v>
      </c>
      <c r="F49" s="59">
        <v>9</v>
      </c>
      <c r="G49" s="60">
        <f t="shared" si="4"/>
        <v>17706.4841939574</v>
      </c>
      <c r="H49" s="61">
        <v>0.5</v>
      </c>
      <c r="I49" s="74">
        <f>MIN(ROUNDDOWN(E49*F49*H49,-2),30000)</f>
        <v>8800</v>
      </c>
      <c r="J49" s="70">
        <f>VLOOKUP(C49,Sheet1!A:B,2,0)</f>
        <v>0</v>
      </c>
      <c r="K49" s="75"/>
      <c r="L49" s="76">
        <v>29</v>
      </c>
      <c r="M49" s="87">
        <f>VLOOKUP(B49,'区域代码 不打印'!A:B,2,0)</f>
        <v>1</v>
      </c>
      <c r="N49" s="80">
        <v>2</v>
      </c>
      <c r="O49" s="79"/>
      <c r="P49" s="79"/>
      <c r="Q49" s="79"/>
      <c r="R49" s="79"/>
      <c r="T49" s="79"/>
      <c r="U49" s="79"/>
      <c r="V49" s="79"/>
      <c r="W49" s="79"/>
    </row>
    <row r="50" ht="14.25" spans="1:23">
      <c r="A50" s="29">
        <v>4</v>
      </c>
      <c r="B50" s="39" t="s">
        <v>14</v>
      </c>
      <c r="C50" s="40" t="s">
        <v>80</v>
      </c>
      <c r="D50" s="41" t="s">
        <v>22</v>
      </c>
      <c r="E50" s="58">
        <f>(28000+1000)*32110/(28000+1000+4000+371)/18</f>
        <v>1550.23157165736</v>
      </c>
      <c r="F50" s="59">
        <v>18</v>
      </c>
      <c r="G50" s="60">
        <f t="shared" si="4"/>
        <v>27904.1682898325</v>
      </c>
      <c r="H50" s="61">
        <v>0.5</v>
      </c>
      <c r="I50" s="74">
        <f>MIN(ROUNDDOWN(E50*F50*H50,-2),30000)</f>
        <v>13900</v>
      </c>
      <c r="J50" s="70">
        <f>VLOOKUP(C50,Sheet1!A:B,2,0)</f>
        <v>0</v>
      </c>
      <c r="K50" s="75"/>
      <c r="L50" s="76">
        <v>31</v>
      </c>
      <c r="M50" s="87">
        <f>VLOOKUP(B50,'区域代码 不打印'!A:B,2,0)</f>
        <v>1</v>
      </c>
      <c r="N50" s="80">
        <v>2</v>
      </c>
      <c r="O50" s="79"/>
      <c r="P50" s="79"/>
      <c r="Q50" s="79"/>
      <c r="R50" s="79"/>
      <c r="T50" s="79"/>
      <c r="U50" s="79"/>
      <c r="V50" s="79"/>
      <c r="W50" s="79"/>
    </row>
    <row r="51" s="18" customFormat="true" ht="13.5" spans="1:23">
      <c r="A51" s="29">
        <v>5</v>
      </c>
      <c r="B51" s="33" t="s">
        <v>14</v>
      </c>
      <c r="C51" s="32" t="s">
        <v>81</v>
      </c>
      <c r="D51" s="30" t="s">
        <v>22</v>
      </c>
      <c r="E51" s="47">
        <f>13726/9</f>
        <v>1525.11111111111</v>
      </c>
      <c r="F51" s="51">
        <v>9</v>
      </c>
      <c r="G51" s="49">
        <f t="shared" si="4"/>
        <v>13726</v>
      </c>
      <c r="H51" s="50">
        <v>0.5</v>
      </c>
      <c r="I51" s="74">
        <f>MIN(ROUNDDOWN(E51*F51*H51,-2),30000)</f>
        <v>6800</v>
      </c>
      <c r="J51" s="70">
        <f>VLOOKUP(C51,Sheet1!A:B,2,0)</f>
        <v>0</v>
      </c>
      <c r="K51" s="71"/>
      <c r="L51" s="65">
        <v>32</v>
      </c>
      <c r="M51" s="77">
        <f>VLOOKUP(B51,'区域代码 不打印'!A:B,2,0)</f>
        <v>1</v>
      </c>
      <c r="N51" s="80">
        <v>2</v>
      </c>
      <c r="O51" s="88"/>
      <c r="P51" s="88"/>
      <c r="Q51" s="88"/>
      <c r="R51" s="88"/>
      <c r="S51" s="23"/>
      <c r="T51" s="94"/>
      <c r="U51" s="94"/>
      <c r="V51" s="94"/>
      <c r="W51" s="94"/>
    </row>
    <row r="52" ht="14.25" spans="1:23">
      <c r="A52" s="29">
        <v>6</v>
      </c>
      <c r="B52" s="39" t="s">
        <v>14</v>
      </c>
      <c r="C52" s="40" t="s">
        <v>82</v>
      </c>
      <c r="D52" s="41" t="s">
        <v>22</v>
      </c>
      <c r="E52" s="58">
        <f>(56000+2000)*57600/(56000+2000+4000+371)/36</f>
        <v>1487.87096567315</v>
      </c>
      <c r="F52" s="59">
        <v>36</v>
      </c>
      <c r="G52" s="60">
        <f t="shared" si="4"/>
        <v>53563.3547642334</v>
      </c>
      <c r="H52" s="61">
        <v>0.5</v>
      </c>
      <c r="I52" s="74">
        <f>MIN(ROUNDDOWN(E52*18*H52,-2),30000)</f>
        <v>13300</v>
      </c>
      <c r="J52" s="70">
        <f>VLOOKUP(C52,Sheet1!A:B,2,0)</f>
        <v>0</v>
      </c>
      <c r="K52" s="75"/>
      <c r="L52" s="76">
        <v>47</v>
      </c>
      <c r="M52" s="87">
        <f>VLOOKUP(B52,'区域代码 不打印'!A:B,2,0)</f>
        <v>1</v>
      </c>
      <c r="N52" s="80">
        <v>2</v>
      </c>
      <c r="O52" s="79"/>
      <c r="P52" s="79"/>
      <c r="Q52" s="79"/>
      <c r="R52" s="79"/>
      <c r="T52" s="79"/>
      <c r="U52" s="79"/>
      <c r="V52" s="79"/>
      <c r="W52" s="79"/>
    </row>
    <row r="53" ht="14.25" spans="1:23">
      <c r="A53" s="29">
        <v>7</v>
      </c>
      <c r="B53" s="33" t="s">
        <v>14</v>
      </c>
      <c r="C53" s="32" t="s">
        <v>83</v>
      </c>
      <c r="D53" s="30" t="s">
        <v>22</v>
      </c>
      <c r="E53" s="47">
        <f>(21871-4000-371)/9</f>
        <v>1944.44444444444</v>
      </c>
      <c r="F53" s="51">
        <v>9</v>
      </c>
      <c r="G53" s="49">
        <f t="shared" si="4"/>
        <v>17500</v>
      </c>
      <c r="H53" s="50">
        <v>0.5</v>
      </c>
      <c r="I53" s="74">
        <f>MIN(ROUNDDOWN(E53*F53*H53,-2),30000)</f>
        <v>8700</v>
      </c>
      <c r="J53" s="70">
        <f>VLOOKUP(C53,Sheet1!A:B,2,0)</f>
        <v>0</v>
      </c>
      <c r="K53" s="71"/>
      <c r="L53" s="65">
        <v>62</v>
      </c>
      <c r="M53" s="77">
        <f>VLOOKUP(B53,'区域代码 不打印'!A:B,2,0)</f>
        <v>1</v>
      </c>
      <c r="N53" s="80">
        <v>2</v>
      </c>
      <c r="O53" s="79"/>
      <c r="P53" s="79"/>
      <c r="Q53" s="79"/>
      <c r="R53" s="79"/>
      <c r="T53" s="79"/>
      <c r="U53" s="79"/>
      <c r="V53" s="79"/>
      <c r="W53" s="79"/>
    </row>
    <row r="54" ht="14.25" spans="1:23">
      <c r="A54" s="29">
        <v>8</v>
      </c>
      <c r="B54" s="33" t="s">
        <v>84</v>
      </c>
      <c r="C54" s="32" t="s">
        <v>85</v>
      </c>
      <c r="D54" s="30" t="s">
        <v>22</v>
      </c>
      <c r="E54" s="47">
        <f>36000/18</f>
        <v>2000</v>
      </c>
      <c r="F54" s="51">
        <v>18</v>
      </c>
      <c r="G54" s="49">
        <f t="shared" si="4"/>
        <v>36000</v>
      </c>
      <c r="H54" s="50">
        <v>0.5</v>
      </c>
      <c r="I54" s="74">
        <f>MIN(ROUNDDOWN(E54*F54*H54,-2),30000)</f>
        <v>18000</v>
      </c>
      <c r="J54" s="70">
        <f>VLOOKUP(C54,Sheet1!A:B,2,0)</f>
        <v>0</v>
      </c>
      <c r="K54" s="71"/>
      <c r="L54" s="65">
        <v>60</v>
      </c>
      <c r="M54" s="77">
        <f>VLOOKUP(B54,'区域代码 不打印'!A:B,2,0)</f>
        <v>2</v>
      </c>
      <c r="N54" s="80">
        <v>2</v>
      </c>
      <c r="O54" s="80"/>
      <c r="P54" s="80"/>
      <c r="Q54" s="80"/>
      <c r="R54" s="80"/>
      <c r="T54" s="79"/>
      <c r="U54" s="79"/>
      <c r="V54" s="79"/>
      <c r="W54" s="79"/>
    </row>
    <row r="55" ht="14.25" spans="1:23">
      <c r="A55" s="29">
        <v>9</v>
      </c>
      <c r="B55" s="33" t="s">
        <v>30</v>
      </c>
      <c r="C55" s="32" t="s">
        <v>86</v>
      </c>
      <c r="D55" s="30" t="s">
        <v>22</v>
      </c>
      <c r="E55" s="47">
        <f>18000/9</f>
        <v>2000</v>
      </c>
      <c r="F55" s="51">
        <v>9</v>
      </c>
      <c r="G55" s="49">
        <f t="shared" si="4"/>
        <v>18000</v>
      </c>
      <c r="H55" s="50">
        <v>0.5</v>
      </c>
      <c r="I55" s="74">
        <f>MIN(ROUNDDOWN(E55*F55*H55,-2),30000)</f>
        <v>9000</v>
      </c>
      <c r="J55" s="70">
        <f>VLOOKUP(C55,Sheet1!A:B,2,0)</f>
        <v>0</v>
      </c>
      <c r="K55" s="71"/>
      <c r="L55" s="65">
        <v>16</v>
      </c>
      <c r="M55" s="77">
        <f>VLOOKUP(B55,'区域代码 不打印'!A:B,2,0)</f>
        <v>4</v>
      </c>
      <c r="N55" s="80">
        <v>2</v>
      </c>
      <c r="O55" s="80"/>
      <c r="P55" s="80"/>
      <c r="Q55" s="80"/>
      <c r="R55" s="80"/>
      <c r="T55" s="79"/>
      <c r="U55" s="79"/>
      <c r="V55" s="79"/>
      <c r="W55" s="79"/>
    </row>
    <row r="56" ht="14.25" spans="1:23">
      <c r="A56" s="29">
        <v>10</v>
      </c>
      <c r="B56" s="33" t="s">
        <v>33</v>
      </c>
      <c r="C56" s="32" t="s">
        <v>87</v>
      </c>
      <c r="D56" s="30" t="s">
        <v>18</v>
      </c>
      <c r="E56" s="47">
        <f>79600/27</f>
        <v>2948.14814814815</v>
      </c>
      <c r="F56" s="51">
        <v>27</v>
      </c>
      <c r="G56" s="49">
        <f t="shared" si="4"/>
        <v>79600</v>
      </c>
      <c r="H56" s="50">
        <v>0.7</v>
      </c>
      <c r="I56" s="74">
        <f>MIN(ROUNDDOWN(E56*18*H56,-2),30000)</f>
        <v>30000</v>
      </c>
      <c r="J56" s="70">
        <f>VLOOKUP(C56,Sheet1!A:B,2,0)</f>
        <v>0</v>
      </c>
      <c r="K56" s="71" t="s">
        <v>88</v>
      </c>
      <c r="L56" s="65">
        <v>19</v>
      </c>
      <c r="M56" s="77">
        <f>VLOOKUP(B56,'区域代码 不打印'!A:B,2,0)</f>
        <v>5</v>
      </c>
      <c r="N56" s="80">
        <v>2</v>
      </c>
      <c r="O56" s="79"/>
      <c r="P56" s="79"/>
      <c r="Q56" s="79"/>
      <c r="T56" s="79"/>
      <c r="U56" s="79"/>
      <c r="V56" s="79"/>
      <c r="W56" s="79"/>
    </row>
    <row r="57" ht="14.25" spans="1:23">
      <c r="A57" s="29">
        <v>11</v>
      </c>
      <c r="B57" s="33" t="s">
        <v>33</v>
      </c>
      <c r="C57" s="32" t="s">
        <v>89</v>
      </c>
      <c r="D57" s="30" t="s">
        <v>22</v>
      </c>
      <c r="E57" s="47">
        <f>18000/9</f>
        <v>2000</v>
      </c>
      <c r="F57" s="51">
        <v>9</v>
      </c>
      <c r="G57" s="49">
        <f t="shared" si="4"/>
        <v>18000</v>
      </c>
      <c r="H57" s="50">
        <v>0.5</v>
      </c>
      <c r="I57" s="74">
        <f>MIN(ROUNDDOWN(E57*F57*H57,-2),30000)</f>
        <v>9000</v>
      </c>
      <c r="J57" s="70">
        <f>VLOOKUP(C57,Sheet1!A:B,2,0)</f>
        <v>0</v>
      </c>
      <c r="K57" s="71"/>
      <c r="L57" s="65">
        <v>48</v>
      </c>
      <c r="M57" s="77">
        <f>VLOOKUP(B57,'区域代码 不打印'!A:B,2,0)</f>
        <v>5</v>
      </c>
      <c r="N57" s="80">
        <v>2</v>
      </c>
      <c r="O57" s="79"/>
      <c r="P57" s="79"/>
      <c r="Q57" s="79"/>
      <c r="R57" s="79"/>
      <c r="T57" s="79"/>
      <c r="U57" s="79"/>
      <c r="V57" s="79"/>
      <c r="W57" s="79"/>
    </row>
    <row r="58" ht="14.25" spans="1:23">
      <c r="A58" s="29">
        <v>12</v>
      </c>
      <c r="B58" s="39" t="s">
        <v>90</v>
      </c>
      <c r="C58" s="40" t="s">
        <v>91</v>
      </c>
      <c r="D58" s="41" t="s">
        <v>22</v>
      </c>
      <c r="E58" s="58">
        <f>(17500+1000)*21871/(17500+1000+4000+371)/9</f>
        <v>1965.67948736634</v>
      </c>
      <c r="F58" s="59">
        <v>9</v>
      </c>
      <c r="G58" s="60">
        <f t="shared" si="4"/>
        <v>17691.1153862971</v>
      </c>
      <c r="H58" s="61">
        <v>0.5</v>
      </c>
      <c r="I58" s="74">
        <f>MIN(ROUNDDOWN(E58*F58*H58,-2),30000)</f>
        <v>8800</v>
      </c>
      <c r="J58" s="70">
        <f>VLOOKUP(C58,Sheet1!A:B,2,0)</f>
        <v>0</v>
      </c>
      <c r="K58" s="75"/>
      <c r="L58" s="76">
        <v>27</v>
      </c>
      <c r="M58" s="87">
        <f>VLOOKUP(B58,'区域代码 不打印'!A:B,2,0)</f>
        <v>6</v>
      </c>
      <c r="N58" s="80">
        <v>2</v>
      </c>
      <c r="O58" s="79"/>
      <c r="P58" s="79"/>
      <c r="Q58" s="79"/>
      <c r="R58" s="79"/>
      <c r="T58" s="79"/>
      <c r="U58" s="79"/>
      <c r="V58" s="79"/>
      <c r="W58" s="79"/>
    </row>
    <row r="59" ht="14.25" spans="1:23">
      <c r="A59" s="29">
        <v>13</v>
      </c>
      <c r="B59" s="33" t="s">
        <v>90</v>
      </c>
      <c r="C59" s="32" t="s">
        <v>92</v>
      </c>
      <c r="D59" s="30" t="s">
        <v>22</v>
      </c>
      <c r="E59" s="47">
        <f>(8346-4000-371)/9</f>
        <v>441.666666666667</v>
      </c>
      <c r="F59" s="51">
        <v>9</v>
      </c>
      <c r="G59" s="49">
        <f t="shared" si="4"/>
        <v>3975</v>
      </c>
      <c r="H59" s="50">
        <v>0.5</v>
      </c>
      <c r="I59" s="74">
        <f>MIN(ROUNDDOWN(E59*F59*H59,-2),30000)</f>
        <v>1900</v>
      </c>
      <c r="J59" s="70">
        <f>VLOOKUP(C59,Sheet1!A:B,2,0)</f>
        <v>0</v>
      </c>
      <c r="K59" s="71"/>
      <c r="L59" s="65">
        <v>42</v>
      </c>
      <c r="M59" s="77">
        <f>VLOOKUP(B59,'区域代码 不打印'!A:B,2,0)</f>
        <v>6</v>
      </c>
      <c r="N59" s="80">
        <v>2</v>
      </c>
      <c r="O59" s="79"/>
      <c r="P59" s="79"/>
      <c r="Q59" s="79"/>
      <c r="R59" s="79"/>
      <c r="T59" s="79"/>
      <c r="U59" s="79"/>
      <c r="V59" s="79"/>
      <c r="W59" s="79"/>
    </row>
    <row r="60" ht="14.25" spans="1:23">
      <c r="A60" s="29">
        <v>14</v>
      </c>
      <c r="B60" s="39" t="s">
        <v>93</v>
      </c>
      <c r="C60" s="40" t="s">
        <v>94</v>
      </c>
      <c r="D60" s="41" t="s">
        <v>22</v>
      </c>
      <c r="E60" s="58">
        <f>(17500+1000)*21890/(17500+1000+4000+371)/9</f>
        <v>1967.38713266193</v>
      </c>
      <c r="F60" s="59">
        <v>9</v>
      </c>
      <c r="G60" s="60">
        <f t="shared" si="4"/>
        <v>17706.4841939574</v>
      </c>
      <c r="H60" s="61">
        <v>0.5</v>
      </c>
      <c r="I60" s="74">
        <f>MIN(ROUNDDOWN(E60*F60*H60,-2),30000)</f>
        <v>8800</v>
      </c>
      <c r="J60" s="70">
        <f>VLOOKUP(C60,Sheet1!A:B,2,0)</f>
        <v>0</v>
      </c>
      <c r="K60" s="75"/>
      <c r="L60" s="76">
        <v>46</v>
      </c>
      <c r="M60" s="87">
        <f>VLOOKUP(B60,'区域代码 不打印'!A:B,2,0)</f>
        <v>7</v>
      </c>
      <c r="N60" s="80">
        <v>2</v>
      </c>
      <c r="O60" s="79"/>
      <c r="P60" s="79"/>
      <c r="Q60" s="79"/>
      <c r="R60" s="79"/>
      <c r="T60" s="79"/>
      <c r="U60" s="79"/>
      <c r="V60" s="79"/>
      <c r="W60" s="79"/>
    </row>
    <row r="61" s="16" customFormat="true" ht="13.5" spans="1:23">
      <c r="A61" s="29">
        <v>15</v>
      </c>
      <c r="B61" s="33" t="s">
        <v>95</v>
      </c>
      <c r="C61" s="32" t="s">
        <v>96</v>
      </c>
      <c r="D61" s="30" t="s">
        <v>16</v>
      </c>
      <c r="E61" s="47">
        <f>39600/18</f>
        <v>2200</v>
      </c>
      <c r="F61" s="51">
        <v>18</v>
      </c>
      <c r="G61" s="49">
        <f t="shared" si="4"/>
        <v>39600</v>
      </c>
      <c r="H61" s="50">
        <v>0.5</v>
      </c>
      <c r="I61" s="74">
        <f>MIN(ROUNDDOWN(E61*F61*H61,-2),30000)</f>
        <v>19800</v>
      </c>
      <c r="J61" s="70">
        <f>VLOOKUP(C61,Sheet1!A:B,2,0)</f>
        <v>0</v>
      </c>
      <c r="K61" s="71"/>
      <c r="L61" s="65">
        <v>13</v>
      </c>
      <c r="M61" s="77">
        <f>VLOOKUP(B61,'区域代码 不打印'!A:B,2,0)</f>
        <v>9</v>
      </c>
      <c r="N61" s="80">
        <v>2</v>
      </c>
      <c r="O61" s="86"/>
      <c r="P61" s="86"/>
      <c r="Q61" s="86"/>
      <c r="R61" s="86"/>
      <c r="S61" s="23"/>
      <c r="T61" s="86"/>
      <c r="U61" s="86"/>
      <c r="V61" s="86"/>
      <c r="W61" s="86"/>
    </row>
    <row r="62" ht="14.25" spans="1:23">
      <c r="A62" s="29">
        <v>16</v>
      </c>
      <c r="B62" s="33" t="s">
        <v>39</v>
      </c>
      <c r="C62" s="32" t="s">
        <v>97</v>
      </c>
      <c r="D62" s="30" t="s">
        <v>22</v>
      </c>
      <c r="E62" s="47">
        <f>(91323-3000-4000-371)/36</f>
        <v>2332</v>
      </c>
      <c r="F62" s="51">
        <v>36</v>
      </c>
      <c r="G62" s="49">
        <f t="shared" si="4"/>
        <v>83952</v>
      </c>
      <c r="H62" s="50">
        <v>0.5</v>
      </c>
      <c r="I62" s="74">
        <f>MIN(ROUNDDOWN(E62*18*H62,-2),30000)</f>
        <v>20900</v>
      </c>
      <c r="J62" s="70">
        <f>VLOOKUP(C62,Sheet1!A:B,2,0)</f>
        <v>0</v>
      </c>
      <c r="K62" s="71"/>
      <c r="L62" s="65">
        <v>39</v>
      </c>
      <c r="M62" s="77">
        <f>VLOOKUP(B62,'区域代码 不打印'!A:B,2,0)</f>
        <v>10</v>
      </c>
      <c r="N62" s="80">
        <v>2</v>
      </c>
      <c r="O62" s="79"/>
      <c r="P62" s="79"/>
      <c r="Q62" s="79"/>
      <c r="R62" s="79"/>
      <c r="T62" s="79"/>
      <c r="U62" s="79"/>
      <c r="V62" s="79"/>
      <c r="W62" s="79"/>
    </row>
    <row r="63" s="16" customFormat="true" ht="13.5" spans="1:23">
      <c r="A63" s="29">
        <v>17</v>
      </c>
      <c r="B63" s="39" t="s">
        <v>39</v>
      </c>
      <c r="C63" s="40" t="s">
        <v>98</v>
      </c>
      <c r="D63" s="41" t="s">
        <v>22</v>
      </c>
      <c r="E63" s="58">
        <f>35000*39000/(35000+4000+371)/18</f>
        <v>1926.12159542133</v>
      </c>
      <c r="F63" s="59">
        <v>18</v>
      </c>
      <c r="G63" s="60">
        <f t="shared" si="4"/>
        <v>34670.188717584</v>
      </c>
      <c r="H63" s="61">
        <v>0.5</v>
      </c>
      <c r="I63" s="74">
        <f>MIN(ROUNDDOWN(E63*F63*H63,-2),30000)</f>
        <v>17300</v>
      </c>
      <c r="J63" s="70">
        <f>VLOOKUP(C63,Sheet1!A:B,2,0)</f>
        <v>0</v>
      </c>
      <c r="K63" s="75"/>
      <c r="L63" s="76">
        <v>61</v>
      </c>
      <c r="M63" s="87">
        <f>VLOOKUP(B63,'区域代码 不打印'!A:B,2,0)</f>
        <v>10</v>
      </c>
      <c r="N63" s="80">
        <v>2</v>
      </c>
      <c r="O63" s="84"/>
      <c r="P63" s="84"/>
      <c r="Q63" s="84"/>
      <c r="R63" s="84"/>
      <c r="S63" s="23"/>
      <c r="T63" s="86"/>
      <c r="U63" s="86"/>
      <c r="V63" s="86"/>
      <c r="W63" s="86"/>
    </row>
    <row r="64" s="16" customFormat="true" ht="13.5" spans="1:23">
      <c r="A64" s="29">
        <v>18</v>
      </c>
      <c r="B64" s="33" t="s">
        <v>45</v>
      </c>
      <c r="C64" s="32" t="s">
        <v>99</v>
      </c>
      <c r="D64" s="30" t="s">
        <v>22</v>
      </c>
      <c r="E64" s="47">
        <f>30000*1.06/18</f>
        <v>1766.66666666667</v>
      </c>
      <c r="F64" s="51">
        <v>18</v>
      </c>
      <c r="G64" s="49">
        <f t="shared" si="4"/>
        <v>31800</v>
      </c>
      <c r="H64" s="50">
        <v>0.5</v>
      </c>
      <c r="I64" s="74">
        <f>MIN(ROUNDDOWN(E64*F64*H64,-2),30000)</f>
        <v>15900</v>
      </c>
      <c r="J64" s="70">
        <f>VLOOKUP(C64,Sheet1!A:B,2,0)</f>
        <v>0</v>
      </c>
      <c r="K64" s="71"/>
      <c r="L64" s="65">
        <v>41</v>
      </c>
      <c r="M64" s="77">
        <f>VLOOKUP(B64,'区域代码 不打印'!A:B,2,0)</f>
        <v>11</v>
      </c>
      <c r="N64" s="80">
        <v>2</v>
      </c>
      <c r="O64" s="86"/>
      <c r="P64" s="86"/>
      <c r="Q64" s="86"/>
      <c r="R64" s="86"/>
      <c r="S64" s="23"/>
      <c r="T64" s="86"/>
      <c r="U64" s="86"/>
      <c r="V64" s="86"/>
      <c r="W64" s="86"/>
    </row>
    <row r="65" ht="14.25" spans="1:23">
      <c r="A65" s="29">
        <v>19</v>
      </c>
      <c r="B65" s="33" t="s">
        <v>45</v>
      </c>
      <c r="C65" s="32" t="s">
        <v>100</v>
      </c>
      <c r="D65" s="30" t="s">
        <v>22</v>
      </c>
      <c r="E65" s="47">
        <f>(57871-4000-371)/27</f>
        <v>1981.48148148148</v>
      </c>
      <c r="F65" s="51">
        <v>27</v>
      </c>
      <c r="G65" s="49">
        <f t="shared" si="4"/>
        <v>53500</v>
      </c>
      <c r="H65" s="50">
        <v>0.5</v>
      </c>
      <c r="I65" s="74">
        <f>MIN(ROUNDDOWN(E65*18*H65,-2),30000)</f>
        <v>17800</v>
      </c>
      <c r="J65" s="70">
        <f>VLOOKUP(C65,Sheet1!A:B,2,0)</f>
        <v>0</v>
      </c>
      <c r="K65" s="71"/>
      <c r="L65" s="65">
        <v>50</v>
      </c>
      <c r="M65" s="77">
        <f>VLOOKUP(B65,'区域代码 不打印'!A:B,2,0)</f>
        <v>11</v>
      </c>
      <c r="N65" s="80">
        <v>2</v>
      </c>
      <c r="O65" s="80"/>
      <c r="P65" s="80"/>
      <c r="Q65" s="80"/>
      <c r="R65" s="80"/>
      <c r="T65" s="79"/>
      <c r="U65" s="79"/>
      <c r="V65" s="79"/>
      <c r="W65" s="79"/>
    </row>
    <row r="66" s="15" customFormat="true" ht="13.5" spans="1:23">
      <c r="A66" s="29">
        <v>20</v>
      </c>
      <c r="B66" s="29" t="s">
        <v>50</v>
      </c>
      <c r="C66" s="3" t="s">
        <v>101</v>
      </c>
      <c r="D66" s="30" t="s">
        <v>52</v>
      </c>
      <c r="E66" s="47">
        <f>1875*0.9*0.85</f>
        <v>1434.375</v>
      </c>
      <c r="F66" s="48">
        <v>16</v>
      </c>
      <c r="G66" s="49">
        <f t="shared" si="4"/>
        <v>22950</v>
      </c>
      <c r="H66" s="50">
        <v>0.5</v>
      </c>
      <c r="I66" s="74">
        <f>MIN(ROUNDDOWN(E66*F66*H66,-2),30000)</f>
        <v>11400</v>
      </c>
      <c r="J66" s="70">
        <f>VLOOKUP(C66,Sheet1!A:B,2,0)</f>
        <v>0</v>
      </c>
      <c r="K66" s="23"/>
      <c r="L66" s="65">
        <v>3</v>
      </c>
      <c r="M66" s="77">
        <f>VLOOKUP(B66,'区域代码 不打印'!A:B,2,0)</f>
        <v>12</v>
      </c>
      <c r="N66" s="80">
        <v>2</v>
      </c>
      <c r="O66" s="83"/>
      <c r="P66" s="83"/>
      <c r="Q66" s="83"/>
      <c r="R66" s="83"/>
      <c r="S66" s="89"/>
      <c r="T66" s="93"/>
      <c r="U66" s="93"/>
      <c r="V66" s="93"/>
      <c r="W66" s="93"/>
    </row>
    <row r="67" ht="14.25" spans="1:23">
      <c r="A67" s="29">
        <v>21</v>
      </c>
      <c r="B67" s="29" t="s">
        <v>50</v>
      </c>
      <c r="C67" s="5" t="s">
        <v>102</v>
      </c>
      <c r="D67" s="30" t="s">
        <v>52</v>
      </c>
      <c r="E67" s="47">
        <f>(45000*0.9+3000)/24*(40000/40239)*0.85</f>
        <v>1531.47444021969</v>
      </c>
      <c r="F67" s="48">
        <v>24</v>
      </c>
      <c r="G67" s="49">
        <f>ROUND(E67*F67,2)</f>
        <v>36755.39</v>
      </c>
      <c r="H67" s="50">
        <v>0.5</v>
      </c>
      <c r="I67" s="74">
        <f>MIN(ROUNDDOWN(E67*18*H67,-2),30000)</f>
        <v>13700</v>
      </c>
      <c r="J67" s="70">
        <f>VLOOKUP(C67,Sheet1!A:B,2,0)</f>
        <v>0</v>
      </c>
      <c r="K67" s="71" t="s">
        <v>103</v>
      </c>
      <c r="L67" s="65">
        <v>4</v>
      </c>
      <c r="M67" s="77">
        <f>VLOOKUP(B67,'区域代码 不打印'!A:B,2,0)</f>
        <v>12</v>
      </c>
      <c r="N67" s="80">
        <v>2</v>
      </c>
      <c r="O67" s="79"/>
      <c r="P67" s="79"/>
      <c r="Q67" s="79"/>
      <c r="R67" s="79"/>
      <c r="T67" s="79"/>
      <c r="U67" s="79"/>
      <c r="V67" s="79"/>
      <c r="W67" s="79"/>
    </row>
    <row r="68" s="15" customFormat="true" ht="13.5" spans="1:23">
      <c r="A68" s="29">
        <v>22</v>
      </c>
      <c r="B68" s="29" t="s">
        <v>50</v>
      </c>
      <c r="C68" s="5" t="s">
        <v>104</v>
      </c>
      <c r="D68" s="30" t="s">
        <v>52</v>
      </c>
      <c r="E68" s="47">
        <f>35540.5/24</f>
        <v>1480.85416666667</v>
      </c>
      <c r="F68" s="48">
        <v>24</v>
      </c>
      <c r="G68" s="49">
        <f t="shared" ref="G68:G80" si="5">E68*F68</f>
        <v>35540.5</v>
      </c>
      <c r="H68" s="50">
        <v>0.5</v>
      </c>
      <c r="I68" s="74">
        <f>MIN(ROUNDDOWN(E68*18*H68,-2),30000)</f>
        <v>13300</v>
      </c>
      <c r="J68" s="70">
        <f>VLOOKUP(C68,Sheet1!A:B,2,0)</f>
        <v>0</v>
      </c>
      <c r="K68" s="71"/>
      <c r="L68" s="65">
        <v>5</v>
      </c>
      <c r="M68" s="77">
        <f>VLOOKUP(B68,'区域代码 不打印'!A:B,2,0)</f>
        <v>12</v>
      </c>
      <c r="N68" s="80">
        <v>2</v>
      </c>
      <c r="O68" s="93"/>
      <c r="P68" s="93"/>
      <c r="Q68" s="93"/>
      <c r="R68" s="93"/>
      <c r="S68" s="89"/>
      <c r="T68" s="93"/>
      <c r="U68" s="93"/>
      <c r="V68" s="93"/>
      <c r="W68" s="93"/>
    </row>
    <row r="69" ht="14.25" spans="1:23">
      <c r="A69" s="29">
        <v>23</v>
      </c>
      <c r="B69" s="33" t="s">
        <v>50</v>
      </c>
      <c r="C69" s="32" t="s">
        <v>105</v>
      </c>
      <c r="D69" s="30" t="s">
        <v>52</v>
      </c>
      <c r="E69" s="47">
        <f>80006/54</f>
        <v>1481.59259259259</v>
      </c>
      <c r="F69" s="51">
        <v>54</v>
      </c>
      <c r="G69" s="49">
        <f t="shared" si="5"/>
        <v>80006</v>
      </c>
      <c r="H69" s="50">
        <v>0.5</v>
      </c>
      <c r="I69" s="74">
        <f>MIN(ROUNDDOWN(E69*18*H69,-2),30000)</f>
        <v>13300</v>
      </c>
      <c r="J69" s="70">
        <f>VLOOKUP(C69,Sheet1!A:B,2,0)</f>
        <v>0</v>
      </c>
      <c r="K69" s="71"/>
      <c r="L69" s="65">
        <v>6</v>
      </c>
      <c r="M69" s="77">
        <f>VLOOKUP(B69,'区域代码 不打印'!A:B,2,0)</f>
        <v>12</v>
      </c>
      <c r="N69" s="80">
        <v>2</v>
      </c>
      <c r="O69" s="79"/>
      <c r="P69" s="79"/>
      <c r="Q69" s="79"/>
      <c r="R69" s="79"/>
      <c r="T69" s="79"/>
      <c r="U69" s="79"/>
      <c r="V69" s="79"/>
      <c r="W69" s="79"/>
    </row>
    <row r="70" ht="14.25" spans="1:23">
      <c r="A70" s="29">
        <v>24</v>
      </c>
      <c r="B70" s="33" t="s">
        <v>50</v>
      </c>
      <c r="C70" s="32" t="s">
        <v>106</v>
      </c>
      <c r="D70" s="30" t="s">
        <v>52</v>
      </c>
      <c r="E70" s="47">
        <f>(5540+645+11085+5000)/16</f>
        <v>1391.875</v>
      </c>
      <c r="F70" s="51">
        <v>16</v>
      </c>
      <c r="G70" s="49">
        <f t="shared" si="5"/>
        <v>22270</v>
      </c>
      <c r="H70" s="50">
        <v>0.5</v>
      </c>
      <c r="I70" s="74">
        <f>MIN(ROUNDDOWN(E70*F70*H70,-2),30000)</f>
        <v>11100</v>
      </c>
      <c r="J70" s="70">
        <f>VLOOKUP(C70,Sheet1!A:B,2,0)</f>
        <v>0</v>
      </c>
      <c r="K70" s="71" t="s">
        <v>107</v>
      </c>
      <c r="L70" s="65">
        <v>7</v>
      </c>
      <c r="M70" s="77">
        <f>VLOOKUP(B70,'区域代码 不打印'!A:B,2,0)</f>
        <v>12</v>
      </c>
      <c r="N70" s="80">
        <v>2</v>
      </c>
      <c r="O70" s="79"/>
      <c r="P70" s="79"/>
      <c r="Q70" s="79"/>
      <c r="R70" s="79"/>
      <c r="T70" s="79"/>
      <c r="U70" s="79"/>
      <c r="V70" s="79"/>
      <c r="W70" s="79"/>
    </row>
    <row r="71" ht="14.25" spans="1:23">
      <c r="A71" s="29">
        <v>25</v>
      </c>
      <c r="B71" s="33" t="s">
        <v>50</v>
      </c>
      <c r="C71" s="32" t="s">
        <v>108</v>
      </c>
      <c r="D71" s="30" t="s">
        <v>52</v>
      </c>
      <c r="E71" s="47">
        <f>57000/32*0.85</f>
        <v>1514.0625</v>
      </c>
      <c r="F71" s="51">
        <v>32</v>
      </c>
      <c r="G71" s="49">
        <f t="shared" si="5"/>
        <v>48450</v>
      </c>
      <c r="H71" s="50">
        <v>0.5</v>
      </c>
      <c r="I71" s="74">
        <f>MIN(ROUNDDOWN(E71*18*H71,-2),30000)</f>
        <v>13600</v>
      </c>
      <c r="J71" s="70">
        <f>VLOOKUP(C71,Sheet1!A:B,2,0)</f>
        <v>0</v>
      </c>
      <c r="K71" s="71"/>
      <c r="L71" s="65">
        <v>8</v>
      </c>
      <c r="M71" s="77">
        <f>VLOOKUP(B71,'区域代码 不打印'!A:B,2,0)</f>
        <v>12</v>
      </c>
      <c r="N71" s="80">
        <v>2</v>
      </c>
      <c r="O71" s="79"/>
      <c r="P71" s="79"/>
      <c r="Q71" s="79"/>
      <c r="R71" s="79"/>
      <c r="T71" s="79"/>
      <c r="U71" s="79"/>
      <c r="V71" s="79"/>
      <c r="W71" s="79"/>
    </row>
    <row r="72" ht="14.25" spans="1:23">
      <c r="A72" s="29">
        <v>26</v>
      </c>
      <c r="B72" s="33" t="s">
        <v>50</v>
      </c>
      <c r="C72" s="32" t="s">
        <v>109</v>
      </c>
      <c r="D72" s="30" t="s">
        <v>22</v>
      </c>
      <c r="E72" s="47">
        <f>18000/9</f>
        <v>2000</v>
      </c>
      <c r="F72" s="51">
        <v>9</v>
      </c>
      <c r="G72" s="49">
        <f t="shared" si="5"/>
        <v>18000</v>
      </c>
      <c r="H72" s="50">
        <v>0.5</v>
      </c>
      <c r="I72" s="74">
        <f>MIN(ROUNDDOWN(E72*F72*H72,-2),30000)</f>
        <v>9000</v>
      </c>
      <c r="J72" s="70">
        <f>VLOOKUP(C72,Sheet1!A:B,2,0)</f>
        <v>0</v>
      </c>
      <c r="K72" s="71"/>
      <c r="L72" s="65">
        <v>45</v>
      </c>
      <c r="M72" s="77">
        <f>VLOOKUP(B72,'区域代码 不打印'!A:B,2,0)</f>
        <v>12</v>
      </c>
      <c r="N72" s="80">
        <v>2</v>
      </c>
      <c r="O72" s="79"/>
      <c r="P72" s="79"/>
      <c r="Q72" s="79"/>
      <c r="R72" s="79"/>
      <c r="T72" s="79"/>
      <c r="U72" s="79"/>
      <c r="V72" s="79"/>
      <c r="W72" s="79"/>
    </row>
    <row r="73" s="15" customFormat="true" ht="13.5" spans="1:23">
      <c r="A73" s="29">
        <v>27</v>
      </c>
      <c r="B73" s="29" t="s">
        <v>50</v>
      </c>
      <c r="C73" s="3" t="s">
        <v>110</v>
      </c>
      <c r="D73" s="30" t="s">
        <v>52</v>
      </c>
      <c r="E73" s="47">
        <f>28678.5/20</f>
        <v>1433.925</v>
      </c>
      <c r="F73" s="51">
        <v>20</v>
      </c>
      <c r="G73" s="49">
        <f t="shared" si="5"/>
        <v>28678.5</v>
      </c>
      <c r="H73" s="50">
        <v>0.5</v>
      </c>
      <c r="I73" s="74">
        <f>MIN(ROUNDDOWN(E73*18*H73,-2),30000)</f>
        <v>12900</v>
      </c>
      <c r="J73" s="70">
        <f>VLOOKUP(C73,Sheet1!A:B,2,0)</f>
        <v>0</v>
      </c>
      <c r="K73" s="71"/>
      <c r="L73" s="65">
        <v>52</v>
      </c>
      <c r="M73" s="77">
        <f>VLOOKUP(B73,'区域代码 不打印'!A:B,2,0)</f>
        <v>12</v>
      </c>
      <c r="N73" s="80">
        <v>2</v>
      </c>
      <c r="O73" s="93"/>
      <c r="P73" s="93"/>
      <c r="Q73" s="93"/>
      <c r="R73" s="93"/>
      <c r="S73" s="89"/>
      <c r="T73" s="93"/>
      <c r="U73" s="93"/>
      <c r="V73" s="93"/>
      <c r="W73" s="93"/>
    </row>
    <row r="74" ht="14.25" spans="1:23">
      <c r="A74" s="29">
        <v>28</v>
      </c>
      <c r="B74" s="33" t="s">
        <v>50</v>
      </c>
      <c r="C74" s="32" t="s">
        <v>111</v>
      </c>
      <c r="D74" s="30" t="s">
        <v>52</v>
      </c>
      <c r="E74" s="47">
        <f>34109.5/25</f>
        <v>1364.38</v>
      </c>
      <c r="F74" s="51">
        <v>25</v>
      </c>
      <c r="G74" s="49">
        <f t="shared" si="5"/>
        <v>34109.5</v>
      </c>
      <c r="H74" s="50">
        <v>0.5</v>
      </c>
      <c r="I74" s="74">
        <f>MIN(ROUNDDOWN(E74*18*H74,-2),30000)</f>
        <v>12200</v>
      </c>
      <c r="J74" s="70">
        <f>VLOOKUP(C74,Sheet1!A:B,2,0)</f>
        <v>0</v>
      </c>
      <c r="K74" s="71" t="s">
        <v>112</v>
      </c>
      <c r="L74" s="65">
        <v>53</v>
      </c>
      <c r="M74" s="77">
        <f>VLOOKUP(B74,'区域代码 不打印'!A:B,2,0)</f>
        <v>12</v>
      </c>
      <c r="N74" s="80">
        <v>2</v>
      </c>
      <c r="O74" s="79"/>
      <c r="P74" s="79"/>
      <c r="Q74" s="79"/>
      <c r="R74" s="79"/>
      <c r="T74" s="79"/>
      <c r="U74" s="79"/>
      <c r="V74" s="79"/>
      <c r="W74" s="79"/>
    </row>
    <row r="75" s="15" customFormat="true" ht="13.5" spans="1:23">
      <c r="A75" s="29">
        <v>29</v>
      </c>
      <c r="B75" s="33" t="s">
        <v>50</v>
      </c>
      <c r="C75" s="32" t="s">
        <v>113</v>
      </c>
      <c r="D75" s="30" t="s">
        <v>52</v>
      </c>
      <c r="E75" s="47">
        <f>18074/16</f>
        <v>1129.625</v>
      </c>
      <c r="F75" s="51">
        <v>16</v>
      </c>
      <c r="G75" s="49">
        <f t="shared" si="5"/>
        <v>18074</v>
      </c>
      <c r="H75" s="50">
        <v>0.5</v>
      </c>
      <c r="I75" s="74">
        <f>MIN(ROUNDDOWN(E75*F75*H75,-2),30000)</f>
        <v>9000</v>
      </c>
      <c r="J75" s="70">
        <f>VLOOKUP(C75,Sheet1!A:B,2,0)</f>
        <v>0</v>
      </c>
      <c r="K75" s="71"/>
      <c r="L75" s="65">
        <v>54</v>
      </c>
      <c r="M75" s="77">
        <f>VLOOKUP(B75,'区域代码 不打印'!A:B,2,0)</f>
        <v>12</v>
      </c>
      <c r="N75" s="80">
        <v>2</v>
      </c>
      <c r="O75" s="93"/>
      <c r="P75" s="93"/>
      <c r="Q75" s="93"/>
      <c r="R75" s="93"/>
      <c r="S75" s="89"/>
      <c r="T75" s="93"/>
      <c r="U75" s="93"/>
      <c r="V75" s="93"/>
      <c r="W75" s="93"/>
    </row>
    <row r="76" ht="14.25" spans="1:23">
      <c r="A76" s="29">
        <v>30</v>
      </c>
      <c r="B76" s="33" t="s">
        <v>50</v>
      </c>
      <c r="C76" s="32" t="s">
        <v>114</v>
      </c>
      <c r="D76" s="30" t="s">
        <v>52</v>
      </c>
      <c r="E76" s="47">
        <f>1875*0.756*0.85</f>
        <v>1204.875</v>
      </c>
      <c r="F76" s="51">
        <v>20</v>
      </c>
      <c r="G76" s="49">
        <f t="shared" si="5"/>
        <v>24097.5</v>
      </c>
      <c r="H76" s="50">
        <v>0.5</v>
      </c>
      <c r="I76" s="74">
        <f>MIN(ROUNDDOWN(E76*18*H76,-2),30000)</f>
        <v>10800</v>
      </c>
      <c r="J76" s="70">
        <f>VLOOKUP(C76,Sheet1!A:B,2,0)</f>
        <v>0</v>
      </c>
      <c r="K76" s="71" t="s">
        <v>115</v>
      </c>
      <c r="L76" s="65">
        <v>55</v>
      </c>
      <c r="M76" s="77">
        <f>VLOOKUP(B76,'区域代码 不打印'!A:B,2,0)</f>
        <v>12</v>
      </c>
      <c r="N76" s="80">
        <v>2</v>
      </c>
      <c r="O76" s="79"/>
      <c r="P76" s="79"/>
      <c r="Q76" s="79"/>
      <c r="R76" s="79"/>
      <c r="T76" s="79"/>
      <c r="U76" s="79"/>
      <c r="V76" s="79"/>
      <c r="W76" s="79"/>
    </row>
    <row r="77" ht="14.25" spans="1:23">
      <c r="A77" s="29">
        <v>31</v>
      </c>
      <c r="B77" s="33" t="s">
        <v>50</v>
      </c>
      <c r="C77" s="32" t="s">
        <v>116</v>
      </c>
      <c r="D77" s="30" t="s">
        <v>52</v>
      </c>
      <c r="E77" s="47">
        <f>26647.5/20</f>
        <v>1332.375</v>
      </c>
      <c r="F77" s="51">
        <v>20</v>
      </c>
      <c r="G77" s="49">
        <f t="shared" si="5"/>
        <v>26647.5</v>
      </c>
      <c r="H77" s="50">
        <v>0.5</v>
      </c>
      <c r="I77" s="74">
        <f>MIN(ROUNDDOWN(E77*18*H77,-2),30000)</f>
        <v>11900</v>
      </c>
      <c r="J77" s="70">
        <f>VLOOKUP(C77,Sheet1!A:B,2,0)</f>
        <v>0</v>
      </c>
      <c r="K77" s="72"/>
      <c r="L77" s="65">
        <v>56</v>
      </c>
      <c r="M77" s="77">
        <f>VLOOKUP(B77,'区域代码 不打印'!A:B,2,0)</f>
        <v>12</v>
      </c>
      <c r="N77" s="80">
        <v>2</v>
      </c>
      <c r="O77" s="79"/>
      <c r="P77" s="79"/>
      <c r="Q77" s="79"/>
      <c r="R77" s="79"/>
      <c r="T77" s="79"/>
      <c r="U77" s="79"/>
      <c r="V77" s="79"/>
      <c r="W77" s="79"/>
    </row>
    <row r="78" s="16" customFormat="true" ht="13.5" spans="1:23">
      <c r="A78" s="29">
        <v>32</v>
      </c>
      <c r="B78" s="95" t="s">
        <v>117</v>
      </c>
      <c r="C78" s="96" t="s">
        <v>118</v>
      </c>
      <c r="D78" s="97" t="s">
        <v>119</v>
      </c>
      <c r="E78" s="98">
        <f>11200/9</f>
        <v>1244.44444444444</v>
      </c>
      <c r="F78" s="99">
        <v>36</v>
      </c>
      <c r="G78" s="100">
        <f t="shared" si="5"/>
        <v>44800</v>
      </c>
      <c r="H78" s="101">
        <v>0.5</v>
      </c>
      <c r="I78" s="74">
        <v>0</v>
      </c>
      <c r="J78" s="70">
        <f>VLOOKUP(C78,Sheet1!A:B,2,0)</f>
        <v>47858332</v>
      </c>
      <c r="K78" s="102" t="s">
        <v>120</v>
      </c>
      <c r="L78" s="103">
        <v>34</v>
      </c>
      <c r="M78" s="104">
        <f>VLOOKUP(B78,'区域代码 不打印'!A:B,2,0)</f>
        <v>13</v>
      </c>
      <c r="N78" s="80">
        <v>2</v>
      </c>
      <c r="O78" s="86"/>
      <c r="P78" s="86"/>
      <c r="Q78" s="86"/>
      <c r="R78" s="86"/>
      <c r="S78" s="23"/>
      <c r="T78" s="86"/>
      <c r="U78" s="86"/>
      <c r="V78" s="86"/>
      <c r="W78" s="86"/>
    </row>
    <row r="79" ht="14.25" spans="1:23">
      <c r="A79" s="29">
        <v>33</v>
      </c>
      <c r="B79" s="33" t="s">
        <v>117</v>
      </c>
      <c r="C79" s="32" t="s">
        <v>121</v>
      </c>
      <c r="D79" s="30" t="s">
        <v>22</v>
      </c>
      <c r="E79" s="47">
        <f>(57871-4000-371)/27</f>
        <v>1981.48148148148</v>
      </c>
      <c r="F79" s="51">
        <v>27</v>
      </c>
      <c r="G79" s="49">
        <f t="shared" si="5"/>
        <v>53500</v>
      </c>
      <c r="H79" s="50">
        <v>0.5</v>
      </c>
      <c r="I79" s="74">
        <f>MIN(ROUNDDOWN(E79*18*H79,-2),30000)</f>
        <v>17800</v>
      </c>
      <c r="J79" s="70">
        <f>VLOOKUP(C79,Sheet1!A:B,2,0)</f>
        <v>0</v>
      </c>
      <c r="K79" s="72"/>
      <c r="L79" s="65">
        <v>63</v>
      </c>
      <c r="M79" s="77">
        <f>VLOOKUP(B79,'区域代码 不打印'!A:B,2,0)</f>
        <v>13</v>
      </c>
      <c r="N79" s="80">
        <v>2</v>
      </c>
      <c r="O79" s="79"/>
      <c r="P79" s="79"/>
      <c r="Q79" s="79"/>
      <c r="R79" s="79"/>
      <c r="T79" s="79"/>
      <c r="U79" s="79"/>
      <c r="V79" s="79"/>
      <c r="W79" s="79"/>
    </row>
    <row r="80" s="15" customFormat="true" ht="13.5" spans="1:23">
      <c r="A80" s="29">
        <v>34</v>
      </c>
      <c r="B80" s="39" t="s">
        <v>60</v>
      </c>
      <c r="C80" s="40" t="s">
        <v>122</v>
      </c>
      <c r="D80" s="41" t="s">
        <v>22</v>
      </c>
      <c r="E80" s="58">
        <f>(17500+1000)*21890/(17500+1000+4000+371)/9</f>
        <v>1967.38713266193</v>
      </c>
      <c r="F80" s="59">
        <v>9</v>
      </c>
      <c r="G80" s="60">
        <f t="shared" si="5"/>
        <v>17706.4841939574</v>
      </c>
      <c r="H80" s="61">
        <v>0.5</v>
      </c>
      <c r="I80" s="74">
        <f>MIN(ROUNDDOWN(E80*F80*H80,-2),30000)</f>
        <v>8800</v>
      </c>
      <c r="J80" s="70">
        <f>VLOOKUP(C80,Sheet1!A:B,2,0)</f>
        <v>0</v>
      </c>
      <c r="K80" s="75"/>
      <c r="L80" s="76">
        <v>44</v>
      </c>
      <c r="M80" s="87">
        <f>VLOOKUP(B80,'区域代码 不打印'!A:B,2,0)</f>
        <v>15</v>
      </c>
      <c r="N80" s="80">
        <v>2</v>
      </c>
      <c r="O80" s="93"/>
      <c r="P80" s="93"/>
      <c r="Q80" s="93"/>
      <c r="R80" s="93"/>
      <c r="S80" s="89"/>
      <c r="T80" s="93"/>
      <c r="U80" s="93"/>
      <c r="V80" s="93"/>
      <c r="W80" s="93"/>
    </row>
    <row r="82" customHeight="true" spans="2:10">
      <c r="B82" s="19" t="s">
        <v>12</v>
      </c>
      <c r="I82" s="79">
        <v>876500</v>
      </c>
      <c r="J82" s="79"/>
    </row>
    <row r="84" customHeight="true" spans="8:11">
      <c r="H84" s="79" t="e">
        <f>H83-#REF!</f>
        <v>#REF!</v>
      </c>
      <c r="I84" s="79"/>
      <c r="J84" s="79"/>
      <c r="K84" s="79" t="e">
        <f>K83-#REF!</f>
        <v>#REF!</v>
      </c>
    </row>
  </sheetData>
  <autoFilter ref="A3:W43">
    <extLst/>
  </autoFilter>
  <sortState ref="A3:N67">
    <sortCondition ref="N3:N67"/>
    <sortCondition ref="M3:M67"/>
    <sortCondition ref="L3:L67"/>
  </sortState>
  <mergeCells count="1">
    <mergeCell ref="A1:I1"/>
  </mergeCells>
  <conditionalFormatting sqref="C1:C65548">
    <cfRule type="duplicateValues" dxfId="0" priority="3" stopIfTrue="1"/>
  </conditionalFormatting>
  <printOptions horizontalCentered="true"/>
  <pageMargins left="0.393700787401575" right="0.196850393700787" top="0.590551181102362" bottom="0.590551181102362" header="0.31496062992126" footer="0.31496062992126"/>
  <pageSetup paperSize="9" scale="99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workbookViewId="0">
      <selection activeCell="D12" sqref="D12"/>
    </sheetView>
  </sheetViews>
  <sheetFormatPr defaultColWidth="8.7" defaultRowHeight="14.25" outlineLevelCol="2"/>
  <cols>
    <col min="1" max="1" width="37.8" customWidth="true"/>
    <col min="2" max="2" width="9.39166666666667" customWidth="true"/>
  </cols>
  <sheetData>
    <row r="1" spans="1:2">
      <c r="A1" s="8" t="s">
        <v>51</v>
      </c>
      <c r="B1" s="9">
        <v>3296954</v>
      </c>
    </row>
    <row r="2" spans="1:2">
      <c r="A2" s="8" t="s">
        <v>15</v>
      </c>
      <c r="B2" s="9" t="s">
        <v>123</v>
      </c>
    </row>
    <row r="3" spans="1:2">
      <c r="A3" s="8" t="s">
        <v>101</v>
      </c>
      <c r="B3" s="10"/>
    </row>
    <row r="4" spans="1:3">
      <c r="A4" s="8" t="s">
        <v>102</v>
      </c>
      <c r="B4" s="10"/>
      <c r="C4" s="11" t="s">
        <v>124</v>
      </c>
    </row>
    <row r="5" spans="1:2">
      <c r="A5" s="8" t="s">
        <v>104</v>
      </c>
      <c r="B5" s="10"/>
    </row>
    <row r="6" spans="1:2">
      <c r="A6" s="8" t="s">
        <v>105</v>
      </c>
      <c r="B6" s="10"/>
    </row>
    <row r="7" spans="1:2">
      <c r="A7" s="8" t="s">
        <v>106</v>
      </c>
      <c r="B7" s="10"/>
    </row>
    <row r="8" spans="1:2">
      <c r="A8" s="8" t="s">
        <v>108</v>
      </c>
      <c r="B8" s="10"/>
    </row>
    <row r="9" spans="1:2">
      <c r="A9" s="8" t="s">
        <v>53</v>
      </c>
      <c r="B9" s="9">
        <v>144683</v>
      </c>
    </row>
    <row r="10" spans="1:2">
      <c r="A10" s="8" t="s">
        <v>54</v>
      </c>
      <c r="B10" s="12">
        <v>27578826</v>
      </c>
    </row>
    <row r="11" spans="1:2">
      <c r="A11" s="8" t="s">
        <v>40</v>
      </c>
      <c r="B11" s="10">
        <v>301937</v>
      </c>
    </row>
    <row r="12" spans="1:2">
      <c r="A12" s="8" t="s">
        <v>41</v>
      </c>
      <c r="B12" s="9" t="s">
        <v>125</v>
      </c>
    </row>
    <row r="13" spans="1:2">
      <c r="A13" s="8" t="s">
        <v>96</v>
      </c>
      <c r="B13" s="10"/>
    </row>
    <row r="14" spans="1:2">
      <c r="A14" s="8" t="s">
        <v>55</v>
      </c>
      <c r="B14" s="10">
        <v>9546005</v>
      </c>
    </row>
    <row r="15" spans="1:2">
      <c r="A15" s="8" t="s">
        <v>56</v>
      </c>
      <c r="B15" s="10">
        <v>598302</v>
      </c>
    </row>
    <row r="16" spans="1:2">
      <c r="A16" s="8" t="s">
        <v>86</v>
      </c>
      <c r="B16" s="10"/>
    </row>
    <row r="17" spans="1:2">
      <c r="A17" s="8" t="s">
        <v>17</v>
      </c>
      <c r="B17" s="10">
        <v>850305</v>
      </c>
    </row>
    <row r="18" spans="1:2">
      <c r="A18" s="8" t="s">
        <v>64</v>
      </c>
      <c r="B18" s="10">
        <v>2971689</v>
      </c>
    </row>
    <row r="19" spans="1:2">
      <c r="A19" s="8" t="s">
        <v>87</v>
      </c>
      <c r="B19" s="10"/>
    </row>
    <row r="20" spans="1:2">
      <c r="A20" s="8" t="s">
        <v>34</v>
      </c>
      <c r="B20" s="10">
        <v>86</v>
      </c>
    </row>
    <row r="21" spans="1:2">
      <c r="A21" s="8" t="s">
        <v>57</v>
      </c>
      <c r="B21" s="10">
        <v>16641559</v>
      </c>
    </row>
    <row r="22" spans="1:2">
      <c r="A22" s="8" t="s">
        <v>77</v>
      </c>
      <c r="B22" s="10"/>
    </row>
    <row r="23" spans="1:2">
      <c r="A23" s="8" t="s">
        <v>19</v>
      </c>
      <c r="B23" s="10">
        <v>486034</v>
      </c>
    </row>
    <row r="24" spans="1:2">
      <c r="A24" s="8" t="s">
        <v>20</v>
      </c>
      <c r="B24" s="10">
        <v>3265710</v>
      </c>
    </row>
    <row r="25" spans="1:2">
      <c r="A25" s="8" t="s">
        <v>37</v>
      </c>
      <c r="B25" s="10">
        <v>225526</v>
      </c>
    </row>
    <row r="26" spans="1:2">
      <c r="A26" s="8" t="s">
        <v>78</v>
      </c>
      <c r="B26" s="10"/>
    </row>
    <row r="27" spans="1:2">
      <c r="A27" s="8" t="s">
        <v>91</v>
      </c>
      <c r="B27" s="10"/>
    </row>
    <row r="28" spans="1:2">
      <c r="A28" s="13" t="s">
        <v>21</v>
      </c>
      <c r="B28" s="10">
        <v>118167</v>
      </c>
    </row>
    <row r="29" spans="1:2">
      <c r="A29" s="8" t="s">
        <v>79</v>
      </c>
      <c r="B29" s="10"/>
    </row>
    <row r="30" spans="1:2">
      <c r="A30" s="8" t="s">
        <v>23</v>
      </c>
      <c r="B30" s="10">
        <v>508510</v>
      </c>
    </row>
    <row r="31" spans="1:2">
      <c r="A31" s="8" t="s">
        <v>80</v>
      </c>
      <c r="B31" s="10"/>
    </row>
    <row r="32" spans="1:2">
      <c r="A32" s="8" t="s">
        <v>81</v>
      </c>
      <c r="B32" s="10"/>
    </row>
    <row r="33" spans="1:2">
      <c r="A33" s="8" t="s">
        <v>24</v>
      </c>
      <c r="B33" s="10">
        <v>18941089</v>
      </c>
    </row>
    <row r="34" spans="1:2">
      <c r="A34" s="8" t="s">
        <v>118</v>
      </c>
      <c r="B34" s="10">
        <v>47858332</v>
      </c>
    </row>
    <row r="35" spans="1:2">
      <c r="A35" s="8" t="s">
        <v>25</v>
      </c>
      <c r="B35" s="9" t="s">
        <v>126</v>
      </c>
    </row>
    <row r="36" spans="1:2">
      <c r="A36" s="8" t="s">
        <v>61</v>
      </c>
      <c r="B36" s="10">
        <v>682026</v>
      </c>
    </row>
    <row r="37" spans="1:2">
      <c r="A37" s="8" t="s">
        <v>26</v>
      </c>
      <c r="B37" s="10">
        <v>643537</v>
      </c>
    </row>
    <row r="38" spans="1:2">
      <c r="A38" s="8" t="s">
        <v>46</v>
      </c>
      <c r="B38" s="10">
        <v>141595</v>
      </c>
    </row>
    <row r="39" spans="1:2">
      <c r="A39" s="8" t="s">
        <v>97</v>
      </c>
      <c r="B39" s="10"/>
    </row>
    <row r="40" spans="1:2">
      <c r="A40" s="8" t="s">
        <v>42</v>
      </c>
      <c r="B40" s="10">
        <v>5668</v>
      </c>
    </row>
    <row r="41" spans="1:2">
      <c r="A41" s="8" t="s">
        <v>99</v>
      </c>
      <c r="B41" s="10"/>
    </row>
    <row r="42" spans="1:2">
      <c r="A42" s="8" t="s">
        <v>92</v>
      </c>
      <c r="B42" s="10"/>
    </row>
    <row r="43" spans="1:2">
      <c r="A43" s="8" t="s">
        <v>31</v>
      </c>
      <c r="B43" s="10">
        <v>437000</v>
      </c>
    </row>
    <row r="44" spans="1:2">
      <c r="A44" s="8" t="s">
        <v>122</v>
      </c>
      <c r="B44" s="10"/>
    </row>
    <row r="45" spans="1:2">
      <c r="A45" s="8" t="s">
        <v>109</v>
      </c>
      <c r="B45" s="10"/>
    </row>
    <row r="46" spans="1:2">
      <c r="A46" s="8" t="s">
        <v>94</v>
      </c>
      <c r="B46" s="10"/>
    </row>
    <row r="47" spans="1:2">
      <c r="A47" s="8" t="s">
        <v>82</v>
      </c>
      <c r="B47" s="10"/>
    </row>
    <row r="48" spans="1:2">
      <c r="A48" s="8" t="s">
        <v>89</v>
      </c>
      <c r="B48" s="10"/>
    </row>
    <row r="49" spans="1:2">
      <c r="A49" s="8" t="s">
        <v>47</v>
      </c>
      <c r="B49" s="10">
        <v>145361</v>
      </c>
    </row>
    <row r="50" spans="1:2">
      <c r="A50" s="8" t="s">
        <v>100</v>
      </c>
      <c r="B50" s="10"/>
    </row>
    <row r="51" spans="1:2">
      <c r="A51" s="8" t="s">
        <v>48</v>
      </c>
      <c r="B51" s="10">
        <v>2116573</v>
      </c>
    </row>
    <row r="52" spans="1:2">
      <c r="A52" s="8" t="s">
        <v>110</v>
      </c>
      <c r="B52" s="10"/>
    </row>
    <row r="53" spans="1:2">
      <c r="A53" s="8" t="s">
        <v>111</v>
      </c>
      <c r="B53" s="10"/>
    </row>
    <row r="54" spans="1:2">
      <c r="A54" s="8" t="s">
        <v>113</v>
      </c>
      <c r="B54" s="10"/>
    </row>
    <row r="55" spans="1:2">
      <c r="A55" s="8" t="s">
        <v>114</v>
      </c>
      <c r="B55" s="10"/>
    </row>
    <row r="56" spans="1:2">
      <c r="A56" s="8" t="s">
        <v>116</v>
      </c>
      <c r="B56" s="10"/>
    </row>
    <row r="57" spans="1:2">
      <c r="A57" s="8" t="s">
        <v>58</v>
      </c>
      <c r="B57" s="10">
        <v>69920</v>
      </c>
    </row>
    <row r="58" spans="1:2">
      <c r="A58" s="13" t="s">
        <v>27</v>
      </c>
      <c r="B58" s="14">
        <v>7355973</v>
      </c>
    </row>
    <row r="59" spans="1:2">
      <c r="A59" s="13" t="s">
        <v>43</v>
      </c>
      <c r="B59" s="14">
        <v>101844</v>
      </c>
    </row>
    <row r="60" spans="1:2">
      <c r="A60" s="8" t="s">
        <v>85</v>
      </c>
      <c r="B60" s="10"/>
    </row>
    <row r="61" spans="1:2">
      <c r="A61" s="8" t="s">
        <v>98</v>
      </c>
      <c r="B61" s="10"/>
    </row>
    <row r="62" spans="1:2">
      <c r="A62" s="8" t="s">
        <v>83</v>
      </c>
      <c r="B62" s="10"/>
    </row>
    <row r="63" spans="1:2">
      <c r="A63" s="8" t="s">
        <v>121</v>
      </c>
      <c r="B63" s="10"/>
    </row>
    <row r="64" spans="1:2">
      <c r="A64" s="8" t="s">
        <v>28</v>
      </c>
      <c r="B64" s="10">
        <v>13364700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8.7" defaultRowHeight="14.25" outlineLevelCol="1"/>
  <sheetData>
    <row r="1" spans="1:2">
      <c r="A1" s="7" t="s">
        <v>14</v>
      </c>
      <c r="B1" s="7">
        <v>1</v>
      </c>
    </row>
    <row r="2" spans="1:2">
      <c r="A2" s="7" t="s">
        <v>84</v>
      </c>
      <c r="B2" s="7">
        <v>2</v>
      </c>
    </row>
    <row r="3" spans="1:2">
      <c r="A3" s="7" t="s">
        <v>127</v>
      </c>
      <c r="B3" s="7">
        <v>3</v>
      </c>
    </row>
    <row r="4" spans="1:2">
      <c r="A4" s="7" t="s">
        <v>30</v>
      </c>
      <c r="B4" s="7">
        <v>4</v>
      </c>
    </row>
    <row r="5" spans="1:2">
      <c r="A5" s="7" t="s">
        <v>33</v>
      </c>
      <c r="B5" s="7">
        <v>5</v>
      </c>
    </row>
    <row r="6" spans="1:2">
      <c r="A6" s="7" t="s">
        <v>90</v>
      </c>
      <c r="B6" s="7">
        <v>6</v>
      </c>
    </row>
    <row r="7" spans="1:2">
      <c r="A7" s="7" t="s">
        <v>93</v>
      </c>
      <c r="B7" s="7">
        <v>7</v>
      </c>
    </row>
    <row r="8" spans="1:2">
      <c r="A8" s="7" t="s">
        <v>36</v>
      </c>
      <c r="B8" s="7">
        <v>8</v>
      </c>
    </row>
    <row r="9" spans="1:2">
      <c r="A9" s="7" t="s">
        <v>95</v>
      </c>
      <c r="B9" s="7">
        <v>9</v>
      </c>
    </row>
    <row r="10" spans="1:2">
      <c r="A10" s="7" t="s">
        <v>39</v>
      </c>
      <c r="B10" s="7">
        <v>10</v>
      </c>
    </row>
    <row r="11" spans="1:2">
      <c r="A11" s="7" t="s">
        <v>45</v>
      </c>
      <c r="B11" s="7">
        <v>11</v>
      </c>
    </row>
    <row r="12" spans="1:2">
      <c r="A12" s="7" t="s">
        <v>50</v>
      </c>
      <c r="B12" s="7">
        <v>12</v>
      </c>
    </row>
    <row r="13" spans="1:2">
      <c r="A13" s="7" t="s">
        <v>117</v>
      </c>
      <c r="B13" s="7">
        <v>13</v>
      </c>
    </row>
    <row r="14" spans="1:2">
      <c r="A14" s="7" t="s">
        <v>128</v>
      </c>
      <c r="B14" s="7">
        <v>14</v>
      </c>
    </row>
    <row r="15" spans="1:2">
      <c r="A15" s="7" t="s">
        <v>60</v>
      </c>
      <c r="B15" s="7">
        <v>15</v>
      </c>
    </row>
    <row r="16" spans="1:2">
      <c r="A16" s="7" t="s">
        <v>63</v>
      </c>
      <c r="B16" s="7">
        <v>16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9"/>
  <sheetViews>
    <sheetView workbookViewId="0">
      <selection activeCell="D12" sqref="D12"/>
    </sheetView>
  </sheetViews>
  <sheetFormatPr defaultColWidth="8.7" defaultRowHeight="14.25" outlineLevelCol="1"/>
  <sheetData>
    <row r="1" spans="1:2">
      <c r="A1" s="1" t="s">
        <v>14</v>
      </c>
      <c r="B1">
        <v>1</v>
      </c>
    </row>
    <row r="2" spans="1:2">
      <c r="A2" s="1" t="s">
        <v>84</v>
      </c>
      <c r="B2">
        <v>2</v>
      </c>
    </row>
    <row r="3" spans="1:2">
      <c r="A3" s="1" t="s">
        <v>127</v>
      </c>
      <c r="B3">
        <v>3</v>
      </c>
    </row>
    <row r="4" spans="1:2">
      <c r="A4" s="1" t="s">
        <v>30</v>
      </c>
      <c r="B4">
        <v>4</v>
      </c>
    </row>
    <row r="5" spans="1:2">
      <c r="A5" s="1" t="s">
        <v>33</v>
      </c>
      <c r="B5">
        <v>5</v>
      </c>
    </row>
    <row r="6" spans="1:2">
      <c r="A6" s="1" t="s">
        <v>90</v>
      </c>
      <c r="B6">
        <v>6</v>
      </c>
    </row>
    <row r="7" spans="1:2">
      <c r="A7" s="1" t="s">
        <v>93</v>
      </c>
      <c r="B7">
        <v>7</v>
      </c>
    </row>
    <row r="8" spans="1:2">
      <c r="A8" s="1" t="s">
        <v>36</v>
      </c>
      <c r="B8">
        <v>8</v>
      </c>
    </row>
    <row r="9" spans="1:2">
      <c r="A9" s="1" t="s">
        <v>95</v>
      </c>
      <c r="B9">
        <v>9</v>
      </c>
    </row>
    <row r="10" spans="1:2">
      <c r="A10" s="1" t="s">
        <v>39</v>
      </c>
      <c r="B10">
        <v>10</v>
      </c>
    </row>
    <row r="11" spans="1:2">
      <c r="A11" s="1" t="s">
        <v>45</v>
      </c>
      <c r="B11">
        <v>11</v>
      </c>
    </row>
    <row r="12" spans="1:2">
      <c r="A12" s="1" t="s">
        <v>50</v>
      </c>
      <c r="B12">
        <v>12</v>
      </c>
    </row>
    <row r="13" spans="1:2">
      <c r="A13" s="1" t="s">
        <v>117</v>
      </c>
      <c r="B13">
        <v>13</v>
      </c>
    </row>
    <row r="14" spans="1:2">
      <c r="A14" s="1" t="s">
        <v>128</v>
      </c>
      <c r="B14">
        <v>14</v>
      </c>
    </row>
    <row r="15" spans="1:2">
      <c r="A15" s="1" t="s">
        <v>60</v>
      </c>
      <c r="B15">
        <v>15</v>
      </c>
    </row>
    <row r="16" spans="1:2">
      <c r="A16" s="2" t="s">
        <v>63</v>
      </c>
      <c r="B16">
        <v>16</v>
      </c>
    </row>
    <row r="17" spans="1:1">
      <c r="A17" s="3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5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3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5"/>
    </row>
    <row r="47" spans="1:1">
      <c r="A47" s="4"/>
    </row>
    <row r="48" spans="1:1">
      <c r="A48" s="3"/>
    </row>
    <row r="49" spans="1:1">
      <c r="A49" s="4"/>
    </row>
    <row r="50" spans="1:1">
      <c r="A50" s="4"/>
    </row>
    <row r="51" spans="1:1">
      <c r="A51" s="5"/>
    </row>
    <row r="52" spans="1:1">
      <c r="A52" s="3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3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5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3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3"/>
    </row>
    <row r="97" spans="1:1">
      <c r="A97" s="5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3"/>
    </row>
    <row r="104" spans="1:1">
      <c r="A104" s="4"/>
    </row>
    <row r="105" spans="1:1">
      <c r="A105" s="4"/>
    </row>
    <row r="106" spans="1:1">
      <c r="A106" s="3"/>
    </row>
    <row r="107" spans="1:1">
      <c r="A107" s="4"/>
    </row>
    <row r="108" spans="1:1">
      <c r="A108" s="5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5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3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5"/>
    </row>
    <row r="136" spans="1:1">
      <c r="A136" s="4"/>
    </row>
    <row r="137" spans="1:1">
      <c r="A137" s="3"/>
    </row>
    <row r="138" spans="1:1">
      <c r="A138" s="4"/>
    </row>
    <row r="139" spans="1:1">
      <c r="A139" s="4"/>
    </row>
    <row r="140" spans="1:1">
      <c r="A140" s="3"/>
    </row>
    <row r="141" spans="1:1">
      <c r="A141" s="3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5"/>
    </row>
    <row r="178" spans="1:1">
      <c r="A178" s="5"/>
    </row>
    <row r="179" spans="1:1">
      <c r="A179" s="4"/>
    </row>
    <row r="180" spans="1:1">
      <c r="A180" s="4"/>
    </row>
    <row r="181" spans="1:1">
      <c r="A181" s="4"/>
    </row>
    <row r="182" spans="1:1">
      <c r="A182" s="5"/>
    </row>
    <row r="183" spans="1:1">
      <c r="A183" s="5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3"/>
    </row>
    <row r="189" spans="1:1">
      <c r="A189" s="6"/>
    </row>
  </sheetData>
  <conditionalFormatting sqref="A2:A189">
    <cfRule type="duplicateValues" dxfId="0" priority="2" stopIfTrue="1"/>
  </conditionalFormatting>
  <conditionalFormatting sqref="A2:A189 A210:A65536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审核通过</vt:lpstr>
      <vt:lpstr>明细表</vt:lpstr>
      <vt:lpstr>Sheet1</vt:lpstr>
      <vt:lpstr>区域代码</vt:lpstr>
      <vt:lpstr>区域代码 不打印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1</cp:revision>
  <dcterms:created xsi:type="dcterms:W3CDTF">1996-12-19T09:32:00Z</dcterms:created>
  <cp:lastPrinted>2021-12-09T14:03:00Z</cp:lastPrinted>
  <dcterms:modified xsi:type="dcterms:W3CDTF">2023-09-28T08:56:34Z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A3E2606FBDA34793B62E137CBAD277C7_13</vt:lpwstr>
  </property>
</Properties>
</file>