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570" firstSheet="1" activeTab="1"/>
  </bookViews>
  <sheets>
    <sheet name="e13" sheetId="2" state="hidden" r:id="rId1"/>
    <sheet name="2022年度跨境电商综合试验区服务体系建设项目资金拨付明细表" sheetId="11" r:id="rId2"/>
    <sheet name="区域代码" sheetId="12" state="hidden" r:id="rId3"/>
    <sheet name="问题" sheetId="7" state="hidden" r:id="rId4"/>
    <sheet name="明细表（有误0" sheetId="3" state="hidden" r:id="rId5"/>
    <sheet name="11.24(报告金额" sheetId="9" state="hidden" r:id="rId6"/>
    <sheet name="票据清单" sheetId="6" state="hidden" r:id="rId7"/>
    <sheet name="35清单" sheetId="10" state="hidden" r:id="rId8"/>
    <sheet name="报关单" sheetId="5" state="hidden" r:id="rId9"/>
    <sheet name="截图" sheetId="8" state="hidden" r:id="rId10"/>
  </sheets>
  <definedNames>
    <definedName name="_xlnm._FilterDatabase" localSheetId="1" hidden="1">'2022年度跨境电商综合试验区服务体系建设项目资金拨付明细表'!$A$4:$E$7</definedName>
    <definedName name="_xlnm._FilterDatabase" localSheetId="4" hidden="1">'明细表（有误0'!$A$3:$Q$60</definedName>
    <definedName name="_xlnm._FilterDatabase" localSheetId="5" hidden="1">'11.24(报告金额'!$A$3:$V$62</definedName>
    <definedName name="_xlnm._FilterDatabase" localSheetId="6" hidden="1">票据清单!$A$2:$J$477</definedName>
    <definedName name="_xlnm._FilterDatabase" localSheetId="7" hidden="1">'35清单'!$A$3:$N$32</definedName>
    <definedName name="_xlnm._FilterDatabase" localSheetId="0" hidden="1">'e13'!$A$1:$I$20</definedName>
    <definedName name="_xlnm.Print_Area" localSheetId="5">'11.24(报告金额'!$A$1:$I$61</definedName>
    <definedName name="_xlnm.Print_Titles" localSheetId="5">'11.24(报告金额'!$1:$3</definedName>
    <definedName name="_xlnm.Print_Titles" localSheetId="1">'2022年度跨境电商综合试验区服务体系建设项目资金拨付明细表'!$2:$4</definedName>
  </definedNames>
  <calcPr calcId="144525"/>
</workbook>
</file>

<file path=xl/comments1.xml><?xml version="1.0" encoding="utf-8"?>
<comments xmlns="http://schemas.openxmlformats.org/spreadsheetml/2006/main">
  <authors>
    <author>arrow</author>
  </authors>
  <commentList>
    <comment ref="J9" authorId="0">
      <text>
        <r>
          <rPr>
            <b/>
            <sz val="9"/>
            <rFont val="宋体"/>
            <charset val="134"/>
          </rPr>
          <t>arrow:</t>
        </r>
        <r>
          <rPr>
            <sz val="9"/>
            <rFont val="宋体"/>
            <charset val="134"/>
          </rPr>
          <t xml:space="preserve">
有海外证书，但日期不在申报期内</t>
        </r>
      </text>
    </comment>
    <comment ref="I16" authorId="0">
      <text>
        <r>
          <rPr>
            <b/>
            <sz val="9"/>
            <rFont val="宋体"/>
            <charset val="134"/>
          </rPr>
          <t>arrow:</t>
        </r>
        <r>
          <rPr>
            <sz val="9"/>
            <rFont val="宋体"/>
            <charset val="134"/>
          </rPr>
          <t xml:space="preserve">
证书日期2021.10.9</t>
        </r>
      </text>
    </comment>
    <comment ref="I48" authorId="0">
      <text>
        <r>
          <rPr>
            <b/>
            <sz val="9"/>
            <rFont val="宋体"/>
            <charset val="134"/>
          </rPr>
          <t>arrow:</t>
        </r>
        <r>
          <rPr>
            <sz val="9"/>
            <rFont val="宋体"/>
            <charset val="134"/>
          </rPr>
          <t xml:space="preserve">
2021.12.3</t>
        </r>
      </text>
    </comment>
    <comment ref="I54" authorId="0">
      <text>
        <r>
          <rPr>
            <b/>
            <sz val="9"/>
            <rFont val="宋体"/>
            <charset val="134"/>
          </rPr>
          <t>arrow:</t>
        </r>
        <r>
          <rPr>
            <sz val="9"/>
            <rFont val="宋体"/>
            <charset val="134"/>
          </rPr>
          <t xml:space="preserve">
</t>
        </r>
        <r>
          <rPr>
            <sz val="9"/>
            <rFont val="Arial Narrow"/>
            <charset val="134"/>
          </rPr>
          <t>2021.10</t>
        </r>
      </text>
    </comment>
  </commentList>
</comments>
</file>

<file path=xl/comments2.xml><?xml version="1.0" encoding="utf-8"?>
<comments xmlns="http://schemas.openxmlformats.org/spreadsheetml/2006/main">
  <authors>
    <author>arrow</author>
  </authors>
  <commentList>
    <comment ref="C5" authorId="0">
      <text>
        <r>
          <rPr>
            <b/>
            <sz val="9"/>
            <rFont val="宋体"/>
            <charset val="134"/>
          </rPr>
          <t>arrow:</t>
        </r>
        <r>
          <rPr>
            <sz val="9"/>
            <rFont val="宋体"/>
            <charset val="134"/>
          </rPr>
          <t xml:space="preserve">
重复</t>
        </r>
      </text>
    </comment>
    <comment ref="DN6" authorId="0">
      <text>
        <r>
          <rPr>
            <b/>
            <sz val="9"/>
            <rFont val="宋体"/>
            <charset val="134"/>
          </rPr>
          <t>arrow:</t>
        </r>
        <r>
          <rPr>
            <sz val="9"/>
            <rFont val="宋体"/>
            <charset val="134"/>
          </rPr>
          <t xml:space="preserve">
合计数</t>
        </r>
      </text>
    </comment>
    <comment ref="Z15" authorId="0">
      <text>
        <r>
          <rPr>
            <b/>
            <sz val="9"/>
            <rFont val="宋体"/>
            <charset val="134"/>
          </rPr>
          <t>arrow:</t>
        </r>
        <r>
          <rPr>
            <sz val="9"/>
            <rFont val="宋体"/>
            <charset val="134"/>
          </rPr>
          <t xml:space="preserve">
欧元</t>
        </r>
      </text>
    </comment>
    <comment ref="C16" authorId="0">
      <text>
        <r>
          <rPr>
            <b/>
            <sz val="9"/>
            <rFont val="宋体"/>
            <charset val="134"/>
          </rPr>
          <t>arrow:</t>
        </r>
        <r>
          <rPr>
            <sz val="9"/>
            <rFont val="宋体"/>
            <charset val="134"/>
          </rPr>
          <t xml:space="preserve">
非跨境平台</t>
        </r>
      </text>
    </comment>
    <comment ref="E29" authorId="0">
      <text>
        <r>
          <rPr>
            <b/>
            <sz val="9"/>
            <rFont val="宋体"/>
            <charset val="134"/>
          </rPr>
          <t>arrow:</t>
        </r>
        <r>
          <rPr>
            <sz val="9"/>
            <rFont val="宋体"/>
            <charset val="134"/>
          </rPr>
          <t xml:space="preserve">
够2000千万，报关单未录完</t>
        </r>
      </text>
    </comment>
    <comment ref="E34" authorId="0">
      <text>
        <r>
          <rPr>
            <b/>
            <sz val="9"/>
            <rFont val="宋体"/>
            <charset val="134"/>
          </rPr>
          <t>arrow:</t>
        </r>
        <r>
          <rPr>
            <sz val="9"/>
            <rFont val="宋体"/>
            <charset val="134"/>
          </rPr>
          <t xml:space="preserve">
180欧元</t>
        </r>
      </text>
    </comment>
  </commentList>
</comments>
</file>

<file path=xl/sharedStrings.xml><?xml version="1.0" encoding="utf-8"?>
<sst xmlns="http://schemas.openxmlformats.org/spreadsheetml/2006/main" count="2625" uniqueCount="1055">
  <si>
    <t>伊朗</t>
  </si>
  <si>
    <t>标黄：有受理通知书的</t>
  </si>
  <si>
    <t>哈萨克斯坦</t>
  </si>
  <si>
    <t>蒙古</t>
  </si>
  <si>
    <t>俄罗斯</t>
  </si>
  <si>
    <t>乌克兰</t>
  </si>
  <si>
    <t>越南</t>
  </si>
  <si>
    <t>澳大利亚</t>
  </si>
  <si>
    <t>哥伦比亚</t>
  </si>
  <si>
    <t>印度</t>
  </si>
  <si>
    <t>韩国</t>
  </si>
  <si>
    <t>老挝</t>
  </si>
  <si>
    <t>墨西哥</t>
  </si>
  <si>
    <t>新西兰</t>
  </si>
  <si>
    <t>菲律宾</t>
  </si>
  <si>
    <t>新加坡</t>
  </si>
  <si>
    <t>美国</t>
  </si>
  <si>
    <t>赞比亚</t>
  </si>
  <si>
    <t>平摊的基础注册费</t>
  </si>
  <si>
    <t>平摊的代理费</t>
  </si>
  <si>
    <t>代理费</t>
  </si>
  <si>
    <t>基础注册费</t>
  </si>
  <si>
    <t>附件2</t>
  </si>
  <si>
    <r>
      <rPr>
        <sz val="18"/>
        <color theme="1"/>
        <rFont val="Times New Roman"/>
        <charset val="134"/>
      </rPr>
      <t>2021</t>
    </r>
    <r>
      <rPr>
        <sz val="18"/>
        <color theme="1"/>
        <rFont val="方正小标宋简体"/>
        <charset val="134"/>
      </rPr>
      <t>年度验收合格的跨境电商示范园区补助资金拨付明细表</t>
    </r>
  </si>
  <si>
    <r>
      <rPr>
        <sz val="11"/>
        <color theme="1"/>
        <rFont val="宋体"/>
        <charset val="134"/>
      </rPr>
      <t>单位：人民币元</t>
    </r>
  </si>
  <si>
    <r>
      <rPr>
        <b/>
        <sz val="10"/>
        <color theme="1"/>
        <rFont val="宋体"/>
        <charset val="134"/>
      </rPr>
      <t>序号</t>
    </r>
  </si>
  <si>
    <r>
      <rPr>
        <b/>
        <sz val="10"/>
        <color theme="1"/>
        <rFont val="宋体"/>
        <charset val="134"/>
      </rPr>
      <t>所属区域</t>
    </r>
  </si>
  <si>
    <t>园区名称</t>
  </si>
  <si>
    <r>
      <rPr>
        <b/>
        <sz val="10"/>
        <color theme="1"/>
        <rFont val="宋体"/>
        <charset val="134"/>
      </rPr>
      <t>企业名称</t>
    </r>
  </si>
  <si>
    <r>
      <rPr>
        <b/>
        <sz val="10"/>
        <color theme="1"/>
        <rFont val="宋体"/>
        <charset val="134"/>
      </rPr>
      <t>支持金额</t>
    </r>
  </si>
  <si>
    <t>合计</t>
  </si>
  <si>
    <t>滨海新区高新区</t>
  </si>
  <si>
    <t>滨海高新区跨境电子商务示范园区</t>
  </si>
  <si>
    <t>天津津滨跨境电子商务有限公司</t>
  </si>
  <si>
    <t>滨海新区经开区</t>
  </si>
  <si>
    <t>天津经济技术开发区
跨境电子商务示范园区</t>
  </si>
  <si>
    <t>天津自贸区于家堡环球购跨境贸易
综合服务有限公司</t>
  </si>
  <si>
    <t>滨海新区</t>
  </si>
  <si>
    <t>和平区</t>
  </si>
  <si>
    <t>河北区</t>
  </si>
  <si>
    <t>河东区</t>
  </si>
  <si>
    <t>河西区</t>
  </si>
  <si>
    <t>南开区</t>
  </si>
  <si>
    <t>红桥区</t>
  </si>
  <si>
    <t>东丽区</t>
  </si>
  <si>
    <t>西青区</t>
  </si>
  <si>
    <t>津南区</t>
  </si>
  <si>
    <t>北辰区</t>
  </si>
  <si>
    <t>武清区</t>
  </si>
  <si>
    <t>宝坻区</t>
  </si>
  <si>
    <t>宁河区</t>
  </si>
  <si>
    <t>静海区</t>
  </si>
  <si>
    <t>蓟州区</t>
  </si>
  <si>
    <r>
      <rPr>
        <sz val="11"/>
        <color theme="1"/>
        <rFont val="宋体"/>
        <charset val="134"/>
      </rPr>
      <t>问题</t>
    </r>
  </si>
  <si>
    <r>
      <rPr>
        <sz val="11"/>
        <color theme="1"/>
        <rFont val="宋体"/>
        <charset val="134"/>
      </rPr>
      <t>高新技术或海外注册企业比例提高</t>
    </r>
    <r>
      <rPr>
        <sz val="11"/>
        <color theme="1"/>
        <rFont val="Arial Narrow"/>
        <charset val="134"/>
      </rPr>
      <t>50%</t>
    </r>
    <r>
      <rPr>
        <sz val="11"/>
        <color theme="1"/>
        <rFont val="宋体"/>
        <charset val="134"/>
      </rPr>
      <t>，补助上线提不提</t>
    </r>
  </si>
  <si>
    <r>
      <rPr>
        <sz val="11"/>
        <color theme="1"/>
        <rFont val="宋体"/>
        <charset val="134"/>
      </rPr>
      <t>上线不变</t>
    </r>
  </si>
  <si>
    <r>
      <rPr>
        <sz val="11"/>
        <color theme="1"/>
        <rFont val="宋体"/>
        <charset val="134"/>
      </rPr>
      <t>申报期以哪种票据日期为准</t>
    </r>
  </si>
  <si>
    <r>
      <rPr>
        <sz val="11"/>
        <color theme="1"/>
        <rFont val="宋体"/>
        <charset val="134"/>
      </rPr>
      <t>后期讨论</t>
    </r>
  </si>
  <si>
    <r>
      <rPr>
        <sz val="11"/>
        <color theme="1"/>
        <rFont val="宋体"/>
        <charset val="134"/>
      </rPr>
      <t>跨境电商平台有哪些</t>
    </r>
  </si>
  <si>
    <r>
      <rPr>
        <sz val="11"/>
        <color theme="1"/>
        <rFont val="宋体"/>
        <charset val="134"/>
      </rPr>
      <t>核对提供网址</t>
    </r>
  </si>
  <si>
    <r>
      <rPr>
        <sz val="11"/>
        <color theme="1"/>
        <rFont val="宋体"/>
        <charset val="134"/>
      </rPr>
      <t>报关单按出口日期还是按申报日期算</t>
    </r>
  </si>
  <si>
    <r>
      <rPr>
        <sz val="11"/>
        <color theme="1"/>
        <rFont val="宋体"/>
        <charset val="134"/>
      </rPr>
      <t>出口日期为准</t>
    </r>
  </si>
  <si>
    <t>高新证书及海外商标证书日期是不是也得在申报期内</t>
  </si>
  <si>
    <r>
      <rPr>
        <sz val="11"/>
        <color theme="1"/>
        <rFont val="Arial Narrow"/>
        <charset val="134"/>
      </rPr>
      <t>34</t>
    </r>
    <r>
      <rPr>
        <sz val="11"/>
        <color theme="1"/>
        <rFont val="宋体"/>
        <charset val="134"/>
      </rPr>
      <t>建支国际贸易（天津）有限公司申报表出口总额</t>
    </r>
    <r>
      <rPr>
        <sz val="11"/>
        <color theme="1"/>
        <rFont val="Arial Narrow"/>
        <charset val="134"/>
      </rPr>
      <t>42027.44</t>
    </r>
    <r>
      <rPr>
        <sz val="11"/>
        <color theme="1"/>
        <rFont val="宋体"/>
        <charset val="134"/>
      </rPr>
      <t>万元，报关单出口额</t>
    </r>
    <r>
      <rPr>
        <sz val="11"/>
        <color theme="1"/>
        <rFont val="Arial Narrow"/>
        <charset val="134"/>
      </rPr>
      <t>40341.97</t>
    </r>
    <r>
      <rPr>
        <sz val="11"/>
        <color theme="1"/>
        <rFont val="宋体"/>
        <charset val="134"/>
      </rPr>
      <t>元</t>
    </r>
  </si>
  <si>
    <r>
      <rPr>
        <sz val="11"/>
        <color theme="1"/>
        <rFont val="Arial Narrow"/>
        <charset val="134"/>
      </rPr>
      <t>20</t>
    </r>
    <r>
      <rPr>
        <sz val="11"/>
        <color theme="1"/>
        <rFont val="宋体"/>
        <charset val="134"/>
      </rPr>
      <t>号电话确认多写个万字</t>
    </r>
  </si>
  <si>
    <r>
      <rPr>
        <sz val="11"/>
        <color theme="1"/>
        <rFont val="Arial Narrow"/>
        <charset val="134"/>
      </rPr>
      <t>33</t>
    </r>
    <r>
      <rPr>
        <sz val="11"/>
        <color theme="1"/>
        <rFont val="宋体"/>
        <charset val="134"/>
      </rPr>
      <t>天津丝绸进出口股份有限公司更名材料，</t>
    </r>
    <r>
      <rPr>
        <sz val="11"/>
        <color theme="1"/>
        <rFont val="Arial Narrow"/>
        <charset val="134"/>
      </rPr>
      <t>51200</t>
    </r>
    <r>
      <rPr>
        <sz val="11"/>
        <color theme="1"/>
        <rFont val="宋体"/>
        <charset val="134"/>
      </rPr>
      <t>元费用是公司内部系统维护费用？</t>
    </r>
  </si>
  <si>
    <r>
      <rPr>
        <sz val="11"/>
        <color theme="1"/>
        <rFont val="Arial Narrow"/>
        <charset val="134"/>
      </rPr>
      <t>21</t>
    </r>
    <r>
      <rPr>
        <sz val="11"/>
        <color theme="1"/>
        <rFont val="宋体"/>
        <charset val="134"/>
      </rPr>
      <t>号电话确认</t>
    </r>
    <r>
      <rPr>
        <sz val="11"/>
        <color theme="1"/>
        <rFont val="Arial Narrow"/>
        <charset val="134"/>
      </rPr>
      <t>51200</t>
    </r>
    <r>
      <rPr>
        <sz val="11"/>
        <color theme="1"/>
        <rFont val="宋体"/>
        <charset val="134"/>
      </rPr>
      <t>确系公司系统维护费用，不予支持，更名材料已补</t>
    </r>
  </si>
  <si>
    <r>
      <rPr>
        <sz val="11"/>
        <color theme="1"/>
        <rFont val="Arial Narrow"/>
        <charset val="134"/>
      </rPr>
      <t>53</t>
    </r>
    <r>
      <rPr>
        <sz val="11"/>
        <color theme="1"/>
        <rFont val="宋体"/>
        <charset val="134"/>
      </rPr>
      <t>天津唯品会供应链管理有限公司无合同、发票及付款票据</t>
    </r>
  </si>
  <si>
    <r>
      <rPr>
        <sz val="11"/>
        <color theme="1"/>
        <rFont val="Arial Narrow"/>
        <charset val="134"/>
      </rPr>
      <t>21</t>
    </r>
    <r>
      <rPr>
        <sz val="11"/>
        <color theme="1"/>
        <rFont val="宋体"/>
        <charset val="134"/>
      </rPr>
      <t>号电话确认是自营平台，无支出票据，不予支持</t>
    </r>
  </si>
  <si>
    <r>
      <rPr>
        <sz val="11"/>
        <color theme="1"/>
        <rFont val="Arial Narrow"/>
        <charset val="134"/>
      </rPr>
      <t>32</t>
    </r>
    <r>
      <rPr>
        <sz val="11"/>
        <color theme="1"/>
        <rFont val="宋体"/>
        <charset val="134"/>
      </rPr>
      <t>天津市普光医用材料制造有限公司缺跨境电商平台申报数据</t>
    </r>
  </si>
  <si>
    <r>
      <rPr>
        <sz val="11"/>
        <color theme="1"/>
        <rFont val="Arial Narrow"/>
        <charset val="134"/>
      </rPr>
      <t>29</t>
    </r>
    <r>
      <rPr>
        <sz val="11"/>
        <color theme="1"/>
        <rFont val="宋体"/>
        <charset val="134"/>
      </rPr>
      <t>天津凯杰国际贸易有限公司报关单出口日期在</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月份以后</t>
    </r>
  </si>
  <si>
    <r>
      <rPr>
        <sz val="11"/>
        <color theme="1"/>
        <rFont val="Arial Narrow"/>
        <charset val="134"/>
      </rPr>
      <t>21</t>
    </r>
    <r>
      <rPr>
        <sz val="11"/>
        <color theme="1"/>
        <rFont val="宋体"/>
        <charset val="134"/>
      </rPr>
      <t>号电话沟通无本申报期内的报关单，不予支持</t>
    </r>
  </si>
  <si>
    <r>
      <rPr>
        <sz val="11"/>
        <color theme="1"/>
        <rFont val="Arial Narrow"/>
        <charset val="134"/>
      </rPr>
      <t>51</t>
    </r>
    <r>
      <rPr>
        <sz val="11"/>
        <color theme="1"/>
        <rFont val="宋体"/>
        <charset val="134"/>
      </rPr>
      <t>天津利安隆新材料股份有限公司以子公司利安隆供应链管理有限公司名议申报</t>
    </r>
    <r>
      <rPr>
        <sz val="11"/>
        <color theme="1"/>
        <rFont val="Arial Narrow"/>
        <charset val="134"/>
      </rPr>
      <t>146136</t>
    </r>
    <r>
      <rPr>
        <sz val="11"/>
        <color theme="1"/>
        <rFont val="宋体"/>
        <charset val="134"/>
      </rPr>
      <t>元</t>
    </r>
  </si>
  <si>
    <r>
      <rPr>
        <sz val="11"/>
        <color theme="1"/>
        <rFont val="Arial Narrow"/>
        <charset val="134"/>
      </rPr>
      <t>36</t>
    </r>
    <r>
      <rPr>
        <sz val="11"/>
        <color theme="1"/>
        <rFont val="宋体"/>
        <charset val="134"/>
      </rPr>
      <t>天津盛荣纺织品有限公司发票日期为</t>
    </r>
    <r>
      <rPr>
        <sz val="11"/>
        <color theme="1"/>
        <rFont val="Arial Narrow"/>
        <charset val="134"/>
      </rPr>
      <t>2022</t>
    </r>
    <r>
      <rPr>
        <sz val="11"/>
        <color theme="1"/>
        <rFont val="宋体"/>
        <charset val="134"/>
      </rPr>
      <t>年</t>
    </r>
    <r>
      <rPr>
        <sz val="11"/>
        <color theme="1"/>
        <rFont val="Arial Narrow"/>
        <charset val="134"/>
      </rPr>
      <t>8</t>
    </r>
    <r>
      <rPr>
        <sz val="11"/>
        <color theme="1"/>
        <rFont val="宋体"/>
        <charset val="134"/>
      </rPr>
      <t>月</t>
    </r>
  </si>
  <si>
    <r>
      <rPr>
        <sz val="11"/>
        <color theme="1"/>
        <rFont val="Arial Narrow"/>
        <charset val="134"/>
      </rPr>
      <t>22</t>
    </r>
    <r>
      <rPr>
        <sz val="11"/>
        <color theme="1"/>
        <rFont val="宋体"/>
        <charset val="134"/>
      </rPr>
      <t>号打电话，对方解释</t>
    </r>
    <r>
      <rPr>
        <sz val="11"/>
        <color theme="1"/>
        <rFont val="Arial Narrow"/>
        <charset val="134"/>
      </rPr>
      <t>22</t>
    </r>
    <r>
      <rPr>
        <sz val="11"/>
        <color theme="1"/>
        <rFont val="宋体"/>
        <charset val="134"/>
      </rPr>
      <t>年</t>
    </r>
    <r>
      <rPr>
        <sz val="11"/>
        <color theme="1"/>
        <rFont val="Arial Narrow"/>
        <charset val="134"/>
      </rPr>
      <t>8</t>
    </r>
    <r>
      <rPr>
        <sz val="11"/>
        <color theme="1"/>
        <rFont val="宋体"/>
        <charset val="134"/>
      </rPr>
      <t>月才申请开具发票</t>
    </r>
  </si>
  <si>
    <r>
      <rPr>
        <sz val="11"/>
        <color theme="1"/>
        <rFont val="Arial Narrow"/>
        <charset val="134"/>
      </rPr>
      <t>35</t>
    </r>
    <r>
      <rPr>
        <sz val="11"/>
        <color theme="1"/>
        <rFont val="宋体"/>
        <charset val="134"/>
      </rPr>
      <t>天津中物网络科技股份公司属于自营网站，申报服务器年费、域名费、网络建设费等，无合同有发票和水单</t>
    </r>
  </si>
  <si>
    <r>
      <rPr>
        <sz val="11"/>
        <color theme="1"/>
        <rFont val="Arial Narrow"/>
        <charset val="134"/>
      </rPr>
      <t>22</t>
    </r>
    <r>
      <rPr>
        <sz val="11"/>
        <color theme="1"/>
        <rFont val="宋体"/>
        <charset val="134"/>
      </rPr>
      <t>打电话</t>
    </r>
  </si>
  <si>
    <r>
      <rPr>
        <sz val="11"/>
        <color theme="1"/>
        <rFont val="Arial Narrow"/>
        <charset val="134"/>
      </rPr>
      <t>39</t>
    </r>
    <r>
      <rPr>
        <sz val="11"/>
        <color theme="1"/>
        <rFont val="宋体"/>
        <charset val="134"/>
      </rPr>
      <t>天津铠达科技有限公司附一张报关单，申报日期</t>
    </r>
    <r>
      <rPr>
        <sz val="11"/>
        <color theme="1"/>
        <rFont val="Arial Narrow"/>
        <charset val="134"/>
      </rPr>
      <t>21</t>
    </r>
    <r>
      <rPr>
        <sz val="11"/>
        <color theme="1"/>
        <rFont val="宋体"/>
        <charset val="134"/>
      </rPr>
      <t>年</t>
    </r>
    <r>
      <rPr>
        <sz val="11"/>
        <color theme="1"/>
        <rFont val="Arial Narrow"/>
        <charset val="134"/>
      </rPr>
      <t>6</t>
    </r>
    <r>
      <rPr>
        <sz val="11"/>
        <color theme="1"/>
        <rFont val="宋体"/>
        <charset val="134"/>
      </rPr>
      <t>月，出口日期</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t>
    </r>
  </si>
  <si>
    <r>
      <rPr>
        <sz val="11"/>
        <color theme="1"/>
        <rFont val="Arial Narrow"/>
        <charset val="134"/>
      </rPr>
      <t>23</t>
    </r>
    <r>
      <rPr>
        <sz val="11"/>
        <color theme="1"/>
        <rFont val="宋体"/>
        <charset val="134"/>
      </rPr>
      <t>号打电话，对方说无别的报关单补</t>
    </r>
  </si>
  <si>
    <r>
      <rPr>
        <sz val="11"/>
        <color theme="1"/>
        <rFont val="Arial Narrow"/>
        <charset val="134"/>
      </rPr>
      <t>41</t>
    </r>
    <r>
      <rPr>
        <sz val="11"/>
        <color theme="1"/>
        <rFont val="宋体"/>
        <charset val="134"/>
      </rPr>
      <t>天津维莱福进出口贸易有限公司缺银行付款单据，发票日期</t>
    </r>
    <r>
      <rPr>
        <sz val="11"/>
        <color theme="1"/>
        <rFont val="Arial Narrow"/>
        <charset val="134"/>
      </rPr>
      <t>2022</t>
    </r>
    <r>
      <rPr>
        <sz val="11"/>
        <color theme="1"/>
        <rFont val="宋体"/>
        <charset val="134"/>
      </rPr>
      <t>年</t>
    </r>
    <r>
      <rPr>
        <sz val="11"/>
        <color theme="1"/>
        <rFont val="Arial Narrow"/>
        <charset val="134"/>
      </rPr>
      <t>8</t>
    </r>
    <r>
      <rPr>
        <sz val="11"/>
        <color theme="1"/>
        <rFont val="宋体"/>
        <charset val="134"/>
      </rPr>
      <t>月</t>
    </r>
  </si>
  <si>
    <r>
      <rPr>
        <sz val="11"/>
        <color theme="1"/>
        <rFont val="Arial Narrow"/>
        <charset val="134"/>
      </rPr>
      <t>23</t>
    </r>
    <r>
      <rPr>
        <sz val="11"/>
        <color theme="1"/>
        <rFont val="宋体"/>
        <charset val="134"/>
      </rPr>
      <t>号打电话，对方解释</t>
    </r>
    <r>
      <rPr>
        <sz val="11"/>
        <color theme="1"/>
        <rFont val="Arial Narrow"/>
        <charset val="134"/>
      </rPr>
      <t>22</t>
    </r>
    <r>
      <rPr>
        <sz val="11"/>
        <color theme="1"/>
        <rFont val="宋体"/>
        <charset val="134"/>
      </rPr>
      <t>年</t>
    </r>
    <r>
      <rPr>
        <sz val="11"/>
        <color theme="1"/>
        <rFont val="Arial Narrow"/>
        <charset val="134"/>
      </rPr>
      <t>8</t>
    </r>
    <r>
      <rPr>
        <sz val="11"/>
        <color theme="1"/>
        <rFont val="宋体"/>
        <charset val="134"/>
      </rPr>
      <t>月才申请发票，银行付款方非本单位，</t>
    </r>
    <r>
      <rPr>
        <sz val="11"/>
        <color theme="1"/>
        <rFont val="Arial Narrow"/>
        <charset val="134"/>
      </rPr>
      <t>27</t>
    </r>
    <r>
      <rPr>
        <sz val="11"/>
        <color theme="1"/>
        <rFont val="宋体"/>
        <charset val="134"/>
      </rPr>
      <t>打电话说替下资料，</t>
    </r>
    <r>
      <rPr>
        <sz val="11"/>
        <color theme="1"/>
        <rFont val="Arial Narrow"/>
        <charset val="134"/>
      </rPr>
      <t>10</t>
    </r>
    <r>
      <rPr>
        <sz val="11"/>
        <color theme="1"/>
        <rFont val="宋体"/>
        <charset val="134"/>
      </rPr>
      <t>月</t>
    </r>
    <r>
      <rPr>
        <sz val="11"/>
        <color theme="1"/>
        <rFont val="Arial Narrow"/>
        <charset val="134"/>
      </rPr>
      <t>11</t>
    </r>
    <r>
      <rPr>
        <sz val="11"/>
        <color theme="1"/>
        <rFont val="宋体"/>
        <charset val="134"/>
      </rPr>
      <t>号电话放弃</t>
    </r>
  </si>
  <si>
    <r>
      <rPr>
        <sz val="11"/>
        <color theme="1"/>
        <rFont val="Arial Narrow"/>
        <charset val="134"/>
      </rPr>
      <t>45</t>
    </r>
    <r>
      <rPr>
        <sz val="11"/>
        <color theme="1"/>
        <rFont val="宋体"/>
        <charset val="134"/>
      </rPr>
      <t>天津岱安金属材料有限公司</t>
    </r>
    <r>
      <rPr>
        <sz val="11"/>
        <color theme="1"/>
        <rFont val="Arial Narrow"/>
        <charset val="134"/>
      </rPr>
      <t>2</t>
    </r>
    <r>
      <rPr>
        <sz val="11"/>
        <color theme="1"/>
        <rFont val="宋体"/>
        <charset val="134"/>
      </rPr>
      <t>笔银行付款为付给个人，高新证书日期</t>
    </r>
    <r>
      <rPr>
        <sz val="11"/>
        <color theme="1"/>
        <rFont val="Arial Narrow"/>
        <charset val="134"/>
      </rPr>
      <t>21</t>
    </r>
    <r>
      <rPr>
        <sz val="11"/>
        <color theme="1"/>
        <rFont val="宋体"/>
        <charset val="134"/>
      </rPr>
      <t>年</t>
    </r>
    <r>
      <rPr>
        <sz val="11"/>
        <color theme="1"/>
        <rFont val="Arial Narrow"/>
        <charset val="134"/>
      </rPr>
      <t>12</t>
    </r>
    <r>
      <rPr>
        <sz val="11"/>
        <color theme="1"/>
        <rFont val="宋体"/>
        <charset val="134"/>
      </rPr>
      <t>月</t>
    </r>
  </si>
  <si>
    <r>
      <rPr>
        <sz val="11"/>
        <color theme="1"/>
        <rFont val="Arial Narrow"/>
        <charset val="134"/>
      </rPr>
      <t>23</t>
    </r>
    <r>
      <rPr>
        <sz val="11"/>
        <color theme="1"/>
        <rFont val="宋体"/>
        <charset val="134"/>
      </rPr>
      <t>号打电话，对方说申报期内无高新证书</t>
    </r>
  </si>
  <si>
    <r>
      <rPr>
        <sz val="11"/>
        <color theme="1"/>
        <rFont val="Arial Narrow"/>
        <charset val="134"/>
      </rPr>
      <t>44</t>
    </r>
    <r>
      <rPr>
        <sz val="11"/>
        <color theme="1"/>
        <rFont val="宋体"/>
        <charset val="134"/>
      </rPr>
      <t>天津百益尔康科技发展有限公司更名材料，报关单合计</t>
    </r>
    <r>
      <rPr>
        <sz val="11"/>
        <color theme="1"/>
        <rFont val="Arial Narrow"/>
        <charset val="134"/>
      </rPr>
      <t>2000</t>
    </r>
    <r>
      <rPr>
        <sz val="11"/>
        <color theme="1"/>
        <rFont val="宋体"/>
        <charset val="134"/>
      </rPr>
      <t>万以上，申报</t>
    </r>
    <r>
      <rPr>
        <sz val="11"/>
        <color theme="1"/>
        <rFont val="Arial Narrow"/>
        <charset val="134"/>
      </rPr>
      <t>703</t>
    </r>
    <r>
      <rPr>
        <sz val="11"/>
        <color theme="1"/>
        <rFont val="宋体"/>
        <charset val="134"/>
      </rPr>
      <t>万元</t>
    </r>
  </si>
  <si>
    <r>
      <rPr>
        <sz val="11"/>
        <color theme="1"/>
        <rFont val="Arial Narrow"/>
        <charset val="134"/>
      </rPr>
      <t>27</t>
    </r>
    <r>
      <rPr>
        <sz val="11"/>
        <color theme="1"/>
        <rFont val="宋体"/>
        <charset val="134"/>
      </rPr>
      <t>号电话补更名材料，已补</t>
    </r>
  </si>
  <si>
    <r>
      <rPr>
        <sz val="11"/>
        <color theme="1"/>
        <rFont val="Arial Narrow"/>
        <charset val="134"/>
      </rPr>
      <t>56</t>
    </r>
    <r>
      <rPr>
        <sz val="11"/>
        <color theme="1"/>
        <rFont val="宋体"/>
        <charset val="134"/>
      </rPr>
      <t>天津利兴国际贸易有限公司账单单据为子公司</t>
    </r>
  </si>
  <si>
    <r>
      <rPr>
        <sz val="11"/>
        <color theme="1"/>
        <rFont val="Arial Narrow"/>
        <charset val="134"/>
      </rPr>
      <t>27</t>
    </r>
    <r>
      <rPr>
        <sz val="11"/>
        <color theme="1"/>
        <rFont val="宋体"/>
        <charset val="134"/>
      </rPr>
      <t>号电话</t>
    </r>
  </si>
  <si>
    <r>
      <rPr>
        <sz val="11"/>
        <color theme="1"/>
        <rFont val="Arial Narrow"/>
        <charset val="134"/>
      </rPr>
      <t>2</t>
    </r>
    <r>
      <rPr>
        <sz val="11"/>
        <color theme="1"/>
        <rFont val="宋体"/>
        <charset val="134"/>
      </rPr>
      <t>天津展志钢铁有限公司报关单出口日期在</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月以后</t>
    </r>
  </si>
  <si>
    <r>
      <rPr>
        <sz val="11"/>
        <color theme="1"/>
        <rFont val="Arial Narrow"/>
        <charset val="134"/>
      </rPr>
      <t>27</t>
    </r>
    <r>
      <rPr>
        <sz val="11"/>
        <color theme="1"/>
        <rFont val="宋体"/>
        <charset val="134"/>
      </rPr>
      <t>号电话补充申报期内报关单，</t>
    </r>
    <r>
      <rPr>
        <sz val="11"/>
        <color theme="1"/>
        <rFont val="Arial Narrow"/>
        <charset val="134"/>
      </rPr>
      <t>28</t>
    </r>
    <r>
      <rPr>
        <sz val="11"/>
        <color theme="1"/>
        <rFont val="宋体"/>
        <charset val="134"/>
      </rPr>
      <t>号已补</t>
    </r>
  </si>
  <si>
    <r>
      <rPr>
        <sz val="11"/>
        <color theme="1"/>
        <rFont val="Arial Narrow"/>
        <charset val="134"/>
      </rPr>
      <t>12</t>
    </r>
    <r>
      <rPr>
        <sz val="11"/>
        <color theme="1"/>
        <rFont val="宋体"/>
        <charset val="134"/>
      </rPr>
      <t>天津汇来国际贸易有限公司报关单剔除</t>
    </r>
    <r>
      <rPr>
        <sz val="11"/>
        <color theme="1"/>
        <rFont val="Arial Narrow"/>
        <charset val="134"/>
      </rPr>
      <t>21</t>
    </r>
    <r>
      <rPr>
        <sz val="11"/>
        <color theme="1"/>
        <rFont val="宋体"/>
        <charset val="134"/>
      </rPr>
      <t>年</t>
    </r>
    <r>
      <rPr>
        <sz val="11"/>
        <color theme="1"/>
        <rFont val="Arial Narrow"/>
        <charset val="134"/>
      </rPr>
      <t>7</t>
    </r>
    <r>
      <rPr>
        <sz val="11"/>
        <color theme="1"/>
        <rFont val="宋体"/>
        <charset val="134"/>
      </rPr>
      <t>月</t>
    </r>
    <r>
      <rPr>
        <sz val="11"/>
        <color theme="1"/>
        <rFont val="Arial Narrow"/>
        <charset val="134"/>
      </rPr>
      <t>871086.67</t>
    </r>
    <r>
      <rPr>
        <sz val="11"/>
        <color theme="1"/>
        <rFont val="宋体"/>
        <charset val="134"/>
      </rPr>
      <t>美元及运费</t>
    </r>
    <r>
      <rPr>
        <sz val="11"/>
        <color theme="1"/>
        <rFont val="Arial Narrow"/>
        <charset val="134"/>
      </rPr>
      <t>162461.12</t>
    </r>
    <r>
      <rPr>
        <sz val="11"/>
        <color theme="1"/>
        <rFont val="宋体"/>
        <charset val="134"/>
      </rPr>
      <t>，出口规模掉档</t>
    </r>
  </si>
  <si>
    <r>
      <rPr>
        <sz val="11"/>
        <color theme="1"/>
        <rFont val="Arial Narrow"/>
        <charset val="134"/>
      </rPr>
      <t>9</t>
    </r>
    <r>
      <rPr>
        <sz val="11"/>
        <color theme="1"/>
        <rFont val="宋体"/>
        <charset val="134"/>
      </rPr>
      <t>号电话同意补充报关单，已补</t>
    </r>
  </si>
  <si>
    <r>
      <rPr>
        <sz val="11"/>
        <color theme="1"/>
        <rFont val="Arial Narrow"/>
        <charset val="134"/>
      </rPr>
      <t>13</t>
    </r>
    <r>
      <rPr>
        <sz val="11"/>
        <color theme="1"/>
        <rFont val="宋体"/>
        <charset val="134"/>
      </rPr>
      <t>天津忠旺铝业有限公司高新证书</t>
    </r>
    <r>
      <rPr>
        <sz val="11"/>
        <color theme="1"/>
        <rFont val="Arial Narrow"/>
        <charset val="134"/>
      </rPr>
      <t>21</t>
    </r>
    <r>
      <rPr>
        <sz val="11"/>
        <color theme="1"/>
        <rFont val="宋体"/>
        <charset val="134"/>
      </rPr>
      <t>年</t>
    </r>
    <r>
      <rPr>
        <sz val="11"/>
        <color theme="1"/>
        <rFont val="Arial Narrow"/>
        <charset val="134"/>
      </rPr>
      <t>10</t>
    </r>
    <r>
      <rPr>
        <sz val="11"/>
        <color theme="1"/>
        <rFont val="宋体"/>
        <charset val="134"/>
      </rPr>
      <t>月，若干张空白金额的报关单，不影响档位</t>
    </r>
  </si>
  <si>
    <r>
      <rPr>
        <sz val="11"/>
        <color theme="1"/>
        <rFont val="Arial Narrow"/>
        <charset val="134"/>
      </rPr>
      <t>14</t>
    </r>
    <r>
      <rPr>
        <sz val="11"/>
        <color theme="1"/>
        <rFont val="宋体"/>
        <charset val="134"/>
      </rPr>
      <t>天津市润飞贸易有限公司</t>
    </r>
    <r>
      <rPr>
        <sz val="11"/>
        <color theme="1"/>
        <rFont val="Arial Narrow"/>
        <charset val="134"/>
      </rPr>
      <t>10000+29800</t>
    </r>
    <r>
      <rPr>
        <sz val="11"/>
        <color theme="1"/>
        <rFont val="宋体"/>
        <charset val="134"/>
      </rPr>
      <t>元费用合同有效期不在申报期内，</t>
    </r>
    <r>
      <rPr>
        <sz val="11"/>
        <color theme="1"/>
        <rFont val="Arial Narrow"/>
        <charset val="134"/>
      </rPr>
      <t>52000</t>
    </r>
    <r>
      <rPr>
        <sz val="11"/>
        <color theme="1"/>
        <rFont val="宋体"/>
        <charset val="134"/>
      </rPr>
      <t>元费用票据单位不是申报单位，一份合同无有效期或者签订日期</t>
    </r>
  </si>
  <si>
    <r>
      <rPr>
        <sz val="11"/>
        <color theme="1"/>
        <rFont val="Arial Narrow"/>
        <charset val="134"/>
      </rPr>
      <t>9</t>
    </r>
    <r>
      <rPr>
        <sz val="11"/>
        <color theme="1"/>
        <rFont val="宋体"/>
        <charset val="134"/>
      </rPr>
      <t>号电话无人接，</t>
    </r>
    <r>
      <rPr>
        <sz val="11"/>
        <color theme="1"/>
        <rFont val="Arial Narrow"/>
        <charset val="134"/>
      </rPr>
      <t>11</t>
    </r>
    <r>
      <rPr>
        <sz val="11"/>
        <color theme="1"/>
        <rFont val="宋体"/>
        <charset val="134"/>
      </rPr>
      <t>号电话合同无有效期的为缴费后一年内，缴费日期为</t>
    </r>
    <r>
      <rPr>
        <sz val="11"/>
        <color theme="1"/>
        <rFont val="Arial Narrow"/>
        <charset val="134"/>
      </rPr>
      <t>2021.6.28</t>
    </r>
    <r>
      <rPr>
        <sz val="11"/>
        <color theme="1"/>
        <rFont val="宋体"/>
        <charset val="134"/>
      </rPr>
      <t>，润飞钢加与润飞为同一个股东关联单位</t>
    </r>
  </si>
  <si>
    <r>
      <rPr>
        <sz val="11"/>
        <color theme="1"/>
        <rFont val="Arial Narrow"/>
        <charset val="134"/>
      </rPr>
      <t>15</t>
    </r>
    <r>
      <rPr>
        <sz val="11"/>
        <color theme="1"/>
        <rFont val="宋体"/>
        <charset val="134"/>
      </rPr>
      <t>天津力为国际贸易有限公司发票、水单内容与合同不符</t>
    </r>
  </si>
  <si>
    <r>
      <rPr>
        <sz val="11"/>
        <color theme="1"/>
        <rFont val="Arial Narrow"/>
        <charset val="134"/>
      </rPr>
      <t>9</t>
    </r>
    <r>
      <rPr>
        <sz val="11"/>
        <color theme="1"/>
        <rFont val="宋体"/>
        <charset val="134"/>
      </rPr>
      <t>号电话对方说</t>
    </r>
    <r>
      <rPr>
        <sz val="11"/>
        <color theme="1"/>
        <rFont val="Arial Narrow"/>
        <charset val="134"/>
      </rPr>
      <t>10</t>
    </r>
    <r>
      <rPr>
        <sz val="11"/>
        <color theme="1"/>
        <rFont val="宋体"/>
        <charset val="134"/>
      </rPr>
      <t>号其他人回复，</t>
    </r>
    <r>
      <rPr>
        <sz val="11"/>
        <color theme="1"/>
        <rFont val="Arial Narrow"/>
        <charset val="134"/>
      </rPr>
      <t>10</t>
    </r>
    <r>
      <rPr>
        <sz val="11"/>
        <color theme="1"/>
        <rFont val="宋体"/>
        <charset val="134"/>
      </rPr>
      <t>号回应补充合同材料，已补充</t>
    </r>
  </si>
  <si>
    <r>
      <rPr>
        <sz val="11"/>
        <color theme="1"/>
        <rFont val="Arial Narrow"/>
        <charset val="134"/>
      </rPr>
      <t>20</t>
    </r>
    <r>
      <rPr>
        <sz val="11"/>
        <color theme="1"/>
        <rFont val="宋体"/>
        <charset val="134"/>
      </rPr>
      <t>天津鑫晟供应链管理有限公司无合同、发票、水单，申报内容是什么</t>
    </r>
  </si>
  <si>
    <r>
      <rPr>
        <sz val="11"/>
        <color theme="1"/>
        <rFont val="Arial Narrow"/>
        <charset val="134"/>
      </rPr>
      <t>9</t>
    </r>
    <r>
      <rPr>
        <sz val="11"/>
        <color theme="1"/>
        <rFont val="宋体"/>
        <charset val="134"/>
      </rPr>
      <t>号电话解释与京东合作，无平台费用发生</t>
    </r>
  </si>
  <si>
    <r>
      <rPr>
        <sz val="11"/>
        <color theme="1"/>
        <rFont val="Arial Narrow"/>
        <charset val="134"/>
      </rPr>
      <t>43</t>
    </r>
    <r>
      <rPr>
        <sz val="11"/>
        <color theme="1"/>
        <rFont val="宋体"/>
        <charset val="134"/>
      </rPr>
      <t>天津中健国康纳米科技股份有限公司申报代码</t>
    </r>
    <r>
      <rPr>
        <sz val="11"/>
        <color theme="1"/>
        <rFont val="Arial Narrow"/>
        <charset val="134"/>
      </rPr>
      <t>1210</t>
    </r>
    <r>
      <rPr>
        <sz val="11"/>
        <color theme="1"/>
        <rFont val="宋体"/>
        <charset val="134"/>
      </rPr>
      <t>，报关单代码</t>
    </r>
    <r>
      <rPr>
        <sz val="11"/>
        <color theme="1"/>
        <rFont val="Arial Narrow"/>
        <charset val="134"/>
      </rPr>
      <t>0110</t>
    </r>
  </si>
  <si>
    <r>
      <rPr>
        <sz val="11"/>
        <color theme="1"/>
        <rFont val="Arial Narrow"/>
        <charset val="134"/>
      </rPr>
      <t>17</t>
    </r>
    <r>
      <rPr>
        <sz val="11"/>
        <color theme="1"/>
        <rFont val="宋体"/>
        <charset val="134"/>
      </rPr>
      <t>号电话解释两者是一致的</t>
    </r>
  </si>
  <si>
    <r>
      <rPr>
        <sz val="11"/>
        <color theme="1"/>
        <rFont val="Arial Narrow"/>
        <charset val="134"/>
      </rPr>
      <t>44</t>
    </r>
    <r>
      <rPr>
        <sz val="11"/>
        <color theme="1"/>
        <rFont val="宋体"/>
        <charset val="134"/>
      </rPr>
      <t>天津百益尔康科技发展有限公司申报代码</t>
    </r>
    <r>
      <rPr>
        <sz val="11"/>
        <color theme="1"/>
        <rFont val="Arial Narrow"/>
        <charset val="134"/>
      </rPr>
      <t>1210</t>
    </r>
    <r>
      <rPr>
        <sz val="11"/>
        <color theme="1"/>
        <rFont val="宋体"/>
        <charset val="134"/>
      </rPr>
      <t>，报关单代码</t>
    </r>
    <r>
      <rPr>
        <sz val="11"/>
        <color theme="1"/>
        <rFont val="Arial Narrow"/>
        <charset val="134"/>
      </rPr>
      <t>0110</t>
    </r>
  </si>
  <si>
    <r>
      <rPr>
        <sz val="11"/>
        <color theme="1"/>
        <rFont val="Arial Narrow"/>
        <charset val="134"/>
      </rPr>
      <t>49</t>
    </r>
    <r>
      <rPr>
        <sz val="11"/>
        <color theme="1"/>
        <rFont val="宋体"/>
        <charset val="134"/>
      </rPr>
      <t>天津市沐森科技有限公司剔除运费后出口规模掉档</t>
    </r>
  </si>
  <si>
    <r>
      <rPr>
        <sz val="11"/>
        <color theme="1"/>
        <rFont val="Arial Narrow"/>
        <charset val="134"/>
      </rPr>
      <t>17</t>
    </r>
    <r>
      <rPr>
        <sz val="11"/>
        <color theme="1"/>
        <rFont val="宋体"/>
        <charset val="134"/>
      </rPr>
      <t>号电话联系无申报期内报关单可补</t>
    </r>
  </si>
  <si>
    <r>
      <rPr>
        <sz val="11"/>
        <color theme="1"/>
        <rFont val="Arial Narrow"/>
        <charset val="134"/>
      </rPr>
      <t>50</t>
    </r>
    <r>
      <rPr>
        <sz val="11"/>
        <color theme="1"/>
        <rFont val="宋体"/>
        <charset val="134"/>
      </rPr>
      <t>天津市浩越全五金制品股份有限公司申报出口规模</t>
    </r>
    <r>
      <rPr>
        <sz val="11"/>
        <color theme="1"/>
        <rFont val="Arial Narrow"/>
        <charset val="134"/>
      </rPr>
      <t>500</t>
    </r>
    <r>
      <rPr>
        <sz val="11"/>
        <color theme="1"/>
        <rFont val="宋体"/>
        <charset val="134"/>
      </rPr>
      <t>万元，报关单合计</t>
    </r>
    <r>
      <rPr>
        <sz val="11"/>
        <color theme="1"/>
        <rFont val="Arial Narrow"/>
        <charset val="134"/>
      </rPr>
      <t>397166.04</t>
    </r>
    <r>
      <rPr>
        <sz val="11"/>
        <color theme="1"/>
        <rFont val="宋体"/>
        <charset val="134"/>
      </rPr>
      <t>美元</t>
    </r>
  </si>
  <si>
    <r>
      <rPr>
        <sz val="10"/>
        <color theme="1"/>
        <rFont val="Arial Narrow"/>
        <charset val="134"/>
      </rPr>
      <t>300</t>
    </r>
    <r>
      <rPr>
        <sz val="10"/>
        <color theme="1"/>
        <rFont val="宋体"/>
        <charset val="134"/>
      </rPr>
      <t>万元以下，不超</t>
    </r>
    <r>
      <rPr>
        <sz val="10"/>
        <color theme="1"/>
        <rFont val="Arial Narrow"/>
        <charset val="134"/>
      </rPr>
      <t>2</t>
    </r>
    <r>
      <rPr>
        <sz val="10"/>
        <color theme="1"/>
        <rFont val="宋体"/>
        <charset val="134"/>
      </rPr>
      <t>千元；</t>
    </r>
    <r>
      <rPr>
        <sz val="10"/>
        <color theme="1"/>
        <rFont val="Arial Narrow"/>
        <charset val="134"/>
      </rPr>
      <t>300-2000</t>
    </r>
    <r>
      <rPr>
        <sz val="10"/>
        <color theme="1"/>
        <rFont val="宋体"/>
        <charset val="134"/>
      </rPr>
      <t>万元，不超</t>
    </r>
    <r>
      <rPr>
        <sz val="10"/>
        <color theme="1"/>
        <rFont val="Arial Narrow"/>
        <charset val="134"/>
      </rPr>
      <t>3</t>
    </r>
    <r>
      <rPr>
        <sz val="10"/>
        <color theme="1"/>
        <rFont val="宋体"/>
        <charset val="134"/>
      </rPr>
      <t>万元；</t>
    </r>
    <r>
      <rPr>
        <sz val="10"/>
        <color theme="1"/>
        <rFont val="Arial Narrow"/>
        <charset val="134"/>
      </rPr>
      <t>2000</t>
    </r>
    <r>
      <rPr>
        <sz val="10"/>
        <color theme="1"/>
        <rFont val="宋体"/>
        <charset val="134"/>
      </rPr>
      <t>万元以上，不超</t>
    </r>
    <r>
      <rPr>
        <sz val="10"/>
        <color theme="1"/>
        <rFont val="Arial Narrow"/>
        <charset val="134"/>
      </rPr>
      <t>7</t>
    </r>
    <r>
      <rPr>
        <sz val="10"/>
        <color theme="1"/>
        <rFont val="宋体"/>
        <charset val="134"/>
      </rPr>
      <t>万元</t>
    </r>
  </si>
  <si>
    <r>
      <rPr>
        <sz val="10"/>
        <color theme="1"/>
        <rFont val="宋体"/>
        <charset val="134"/>
      </rPr>
      <t>单位：人民币元</t>
    </r>
  </si>
  <si>
    <r>
      <rPr>
        <sz val="10"/>
        <color theme="1"/>
        <rFont val="宋体"/>
        <charset val="134"/>
      </rPr>
      <t>美元汇率</t>
    </r>
  </si>
  <si>
    <r>
      <rPr>
        <sz val="10"/>
        <color theme="1"/>
        <rFont val="宋体"/>
        <charset val="134"/>
      </rPr>
      <t>欧元汇率</t>
    </r>
  </si>
  <si>
    <r>
      <rPr>
        <b/>
        <sz val="10"/>
        <color theme="1"/>
        <rFont val="宋体"/>
        <charset val="134"/>
      </rPr>
      <t>申报类型</t>
    </r>
  </si>
  <si>
    <r>
      <rPr>
        <b/>
        <sz val="10"/>
        <color theme="1"/>
        <rFont val="宋体"/>
        <charset val="134"/>
      </rPr>
      <t>平台</t>
    </r>
  </si>
  <si>
    <r>
      <rPr>
        <b/>
        <sz val="10"/>
        <color theme="1"/>
        <rFont val="宋体"/>
        <charset val="134"/>
      </rPr>
      <t>发生费用</t>
    </r>
  </si>
  <si>
    <r>
      <rPr>
        <b/>
        <sz val="10"/>
        <color theme="1"/>
        <rFont val="宋体"/>
        <charset val="134"/>
      </rPr>
      <t>支持比例（隐藏）</t>
    </r>
  </si>
  <si>
    <r>
      <rPr>
        <b/>
        <sz val="10"/>
        <color theme="1"/>
        <rFont val="宋体"/>
        <charset val="134"/>
      </rPr>
      <t>建议支持</t>
    </r>
    <r>
      <rPr>
        <b/>
        <sz val="10"/>
        <color theme="1"/>
        <rFont val="Arial Narrow"/>
        <charset val="134"/>
      </rPr>
      <t xml:space="preserve"> </t>
    </r>
    <r>
      <rPr>
        <b/>
        <sz val="10"/>
        <color theme="1"/>
        <rFont val="宋体"/>
        <charset val="134"/>
      </rPr>
      <t>金额</t>
    </r>
  </si>
  <si>
    <r>
      <rPr>
        <b/>
        <sz val="10"/>
        <color theme="1"/>
        <rFont val="宋体"/>
        <charset val="134"/>
      </rPr>
      <t>高新技术企业</t>
    </r>
  </si>
  <si>
    <r>
      <rPr>
        <b/>
        <sz val="10"/>
        <color theme="1"/>
        <rFont val="宋体"/>
        <charset val="134"/>
      </rPr>
      <t>海外注册商标企业</t>
    </r>
  </si>
  <si>
    <r>
      <rPr>
        <b/>
        <sz val="10"/>
        <color theme="1"/>
        <rFont val="宋体"/>
        <charset val="134"/>
      </rPr>
      <t>监管代码</t>
    </r>
  </si>
  <si>
    <r>
      <rPr>
        <b/>
        <sz val="10"/>
        <color theme="1"/>
        <rFont val="宋体"/>
        <charset val="134"/>
      </rPr>
      <t>申报出口规模</t>
    </r>
  </si>
  <si>
    <r>
      <rPr>
        <b/>
        <sz val="10"/>
        <color theme="1"/>
        <rFont val="宋体"/>
        <charset val="134"/>
      </rPr>
      <t>报关单出口</t>
    </r>
    <r>
      <rPr>
        <b/>
        <sz val="10"/>
        <color theme="1"/>
        <rFont val="Arial Narrow"/>
        <charset val="134"/>
      </rPr>
      <t xml:space="preserve">  </t>
    </r>
    <r>
      <rPr>
        <b/>
        <sz val="10"/>
        <color theme="1"/>
        <rFont val="宋体"/>
        <charset val="134"/>
      </rPr>
      <t>总额</t>
    </r>
  </si>
  <si>
    <r>
      <rPr>
        <b/>
        <sz val="10"/>
        <color theme="1"/>
        <rFont val="宋体"/>
        <charset val="134"/>
      </rPr>
      <t>合同</t>
    </r>
  </si>
  <si>
    <r>
      <rPr>
        <b/>
        <sz val="10"/>
        <color theme="1"/>
        <rFont val="宋体"/>
        <charset val="134"/>
      </rPr>
      <t>银行付款</t>
    </r>
  </si>
  <si>
    <r>
      <rPr>
        <b/>
        <sz val="10"/>
        <color theme="1"/>
        <rFont val="宋体"/>
        <charset val="134"/>
      </rPr>
      <t>发票</t>
    </r>
  </si>
  <si>
    <r>
      <rPr>
        <sz val="10"/>
        <rFont val="宋体"/>
        <charset val="134"/>
      </rPr>
      <t>滨海新区</t>
    </r>
  </si>
  <si>
    <r>
      <rPr>
        <sz val="10"/>
        <rFont val="宋体"/>
        <charset val="134"/>
      </rPr>
      <t>天津易宏国际贸易有限公司</t>
    </r>
  </si>
  <si>
    <r>
      <rPr>
        <sz val="10"/>
        <rFont val="宋体"/>
        <charset val="134"/>
      </rPr>
      <t>跨境电商转型</t>
    </r>
  </si>
  <si>
    <r>
      <rPr>
        <sz val="10"/>
        <rFont val="宋体"/>
        <charset val="134"/>
      </rPr>
      <t>阿里巴巴国际站</t>
    </r>
  </si>
  <si>
    <r>
      <rPr>
        <sz val="10"/>
        <color theme="1"/>
        <rFont val="宋体"/>
        <charset val="134"/>
      </rPr>
      <t>否</t>
    </r>
  </si>
  <si>
    <r>
      <rPr>
        <sz val="10"/>
        <rFont val="宋体"/>
        <charset val="134"/>
      </rPr>
      <t>否</t>
    </r>
  </si>
  <si>
    <r>
      <rPr>
        <sz val="10"/>
        <color theme="1"/>
        <rFont val="Arial Narrow"/>
        <charset val="134"/>
      </rPr>
      <t>820</t>
    </r>
    <r>
      <rPr>
        <sz val="10"/>
        <color theme="1"/>
        <rFont val="宋体"/>
        <charset val="134"/>
      </rPr>
      <t>万元</t>
    </r>
  </si>
  <si>
    <r>
      <rPr>
        <sz val="10"/>
        <rFont val="宋体"/>
        <charset val="134"/>
      </rPr>
      <t>河东区</t>
    </r>
  </si>
  <si>
    <r>
      <rPr>
        <sz val="10"/>
        <rFont val="宋体"/>
        <charset val="134"/>
      </rPr>
      <t>天津展志钢铁有限公司</t>
    </r>
  </si>
  <si>
    <r>
      <rPr>
        <sz val="10"/>
        <rFont val="宋体"/>
        <charset val="134"/>
      </rPr>
      <t>阿里巴巴国际站</t>
    </r>
    <r>
      <rPr>
        <sz val="10"/>
        <rFont val="Arial Narrow"/>
        <charset val="134"/>
      </rPr>
      <t xml:space="preserve"> </t>
    </r>
    <r>
      <rPr>
        <sz val="10"/>
        <rFont val="宋体"/>
        <charset val="134"/>
      </rPr>
      <t>公司官网</t>
    </r>
  </si>
  <si>
    <r>
      <rPr>
        <sz val="10"/>
        <color theme="1"/>
        <rFont val="Arial Narrow"/>
        <charset val="134"/>
      </rPr>
      <t>16449</t>
    </r>
    <r>
      <rPr>
        <sz val="10"/>
        <color theme="1"/>
        <rFont val="宋体"/>
        <charset val="134"/>
      </rPr>
      <t>万元</t>
    </r>
  </si>
  <si>
    <r>
      <rPr>
        <sz val="10"/>
        <color theme="1"/>
        <rFont val="宋体"/>
        <charset val="134"/>
      </rPr>
      <t>报关单出口日期</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月以后，已补充材料</t>
    </r>
  </si>
  <si>
    <r>
      <rPr>
        <sz val="10"/>
        <rFont val="宋体"/>
        <charset val="134"/>
      </rPr>
      <t>西青区</t>
    </r>
  </si>
  <si>
    <r>
      <rPr>
        <sz val="10"/>
        <rFont val="宋体"/>
        <charset val="134"/>
      </rPr>
      <t>祥锦（天津）车业有限公司</t>
    </r>
  </si>
  <si>
    <r>
      <rPr>
        <sz val="10"/>
        <color theme="1"/>
        <rFont val="宋体"/>
        <charset val="134"/>
      </rPr>
      <t>是</t>
    </r>
  </si>
  <si>
    <r>
      <rPr>
        <sz val="10"/>
        <rFont val="宋体"/>
        <charset val="134"/>
      </rPr>
      <t>是</t>
    </r>
  </si>
  <si>
    <r>
      <rPr>
        <sz val="10"/>
        <color theme="1"/>
        <rFont val="Arial Narrow"/>
        <charset val="134"/>
      </rPr>
      <t>4328</t>
    </r>
    <r>
      <rPr>
        <sz val="10"/>
        <color theme="1"/>
        <rFont val="宋体"/>
        <charset val="134"/>
      </rPr>
      <t>万元</t>
    </r>
  </si>
  <si>
    <r>
      <rPr>
        <sz val="10"/>
        <color theme="1"/>
        <rFont val="宋体"/>
        <charset val="134"/>
      </rPr>
      <t>高新证书</t>
    </r>
    <r>
      <rPr>
        <sz val="10"/>
        <color theme="1"/>
        <rFont val="Arial Narrow"/>
        <charset val="134"/>
      </rPr>
      <t>2019.11.28</t>
    </r>
    <r>
      <rPr>
        <sz val="10"/>
        <color theme="1"/>
        <rFont val="宋体"/>
        <charset val="134"/>
      </rPr>
      <t>，水单有</t>
    </r>
    <r>
      <rPr>
        <sz val="10"/>
        <color theme="1"/>
        <rFont val="Arial Narrow"/>
        <charset val="134"/>
      </rPr>
      <t>2019.12</t>
    </r>
    <r>
      <rPr>
        <sz val="10"/>
        <color theme="1"/>
        <rFont val="宋体"/>
        <charset val="134"/>
      </rPr>
      <t>的，不影响上限</t>
    </r>
  </si>
  <si>
    <r>
      <rPr>
        <sz val="10"/>
        <rFont val="宋体"/>
        <charset val="134"/>
      </rPr>
      <t>河西区</t>
    </r>
  </si>
  <si>
    <r>
      <rPr>
        <sz val="10"/>
        <rFont val="宋体"/>
        <charset val="134"/>
      </rPr>
      <t>天津惠好国际贸易有限公司</t>
    </r>
  </si>
  <si>
    <r>
      <rPr>
        <sz val="10"/>
        <color theme="1"/>
        <rFont val="Arial Narrow"/>
        <charset val="134"/>
      </rPr>
      <t>673</t>
    </r>
    <r>
      <rPr>
        <sz val="10"/>
        <color theme="1"/>
        <rFont val="宋体"/>
        <charset val="134"/>
      </rPr>
      <t>万元</t>
    </r>
  </si>
  <si>
    <r>
      <rPr>
        <sz val="10"/>
        <color theme="1"/>
        <rFont val="Arial Narrow"/>
        <charset val="134"/>
      </rPr>
      <t>3</t>
    </r>
    <r>
      <rPr>
        <sz val="10"/>
        <color theme="1"/>
        <rFont val="宋体"/>
        <charset val="134"/>
      </rPr>
      <t>笔水单合计</t>
    </r>
    <r>
      <rPr>
        <sz val="10"/>
        <color theme="1"/>
        <rFont val="Arial Narrow"/>
        <charset val="134"/>
      </rPr>
      <t>450270</t>
    </r>
    <r>
      <rPr>
        <sz val="10"/>
        <color theme="1"/>
        <rFont val="宋体"/>
        <charset val="134"/>
      </rPr>
      <t>元付款方为个人</t>
    </r>
  </si>
  <si>
    <r>
      <rPr>
        <sz val="10"/>
        <rFont val="宋体"/>
        <charset val="134"/>
      </rPr>
      <t>津南区</t>
    </r>
  </si>
  <si>
    <r>
      <rPr>
        <sz val="10"/>
        <rFont val="宋体"/>
        <charset val="134"/>
      </rPr>
      <t>易路达车业（天津）股份有限公司</t>
    </r>
  </si>
  <si>
    <r>
      <rPr>
        <sz val="10"/>
        <color theme="1"/>
        <rFont val="Arial Narrow"/>
        <charset val="134"/>
      </rPr>
      <t>905</t>
    </r>
    <r>
      <rPr>
        <sz val="10"/>
        <color theme="1"/>
        <rFont val="宋体"/>
        <charset val="134"/>
      </rPr>
      <t>万元</t>
    </r>
  </si>
  <si>
    <r>
      <rPr>
        <sz val="10"/>
        <color theme="1"/>
        <rFont val="宋体"/>
        <charset val="134"/>
      </rPr>
      <t>高新证书</t>
    </r>
    <r>
      <rPr>
        <sz val="10"/>
        <color theme="1"/>
        <rFont val="Arial Narrow"/>
        <charset val="134"/>
      </rPr>
      <t>2019.10.28</t>
    </r>
  </si>
  <si>
    <r>
      <rPr>
        <sz val="10"/>
        <rFont val="宋体"/>
        <charset val="134"/>
      </rPr>
      <t>武清区</t>
    </r>
  </si>
  <si>
    <r>
      <rPr>
        <sz val="10"/>
        <rFont val="宋体"/>
        <charset val="134"/>
      </rPr>
      <t>天津朝泽维美进出口贸易有限公司</t>
    </r>
  </si>
  <si>
    <r>
      <rPr>
        <sz val="10"/>
        <color theme="1"/>
        <rFont val="Arial Narrow"/>
        <charset val="134"/>
      </rPr>
      <t>1332</t>
    </r>
    <r>
      <rPr>
        <sz val="10"/>
        <color theme="1"/>
        <rFont val="宋体"/>
        <charset val="134"/>
      </rPr>
      <t>万元</t>
    </r>
  </si>
  <si>
    <r>
      <rPr>
        <sz val="10"/>
        <color theme="1"/>
        <rFont val="宋体"/>
        <charset val="134"/>
      </rPr>
      <t>网易邮箱费</t>
    </r>
    <r>
      <rPr>
        <sz val="10"/>
        <color theme="1"/>
        <rFont val="Arial Narrow"/>
        <charset val="134"/>
      </rPr>
      <t>4680</t>
    </r>
    <r>
      <rPr>
        <sz val="10"/>
        <color theme="1"/>
        <rFont val="宋体"/>
        <charset val="134"/>
      </rPr>
      <t>元不予支持，海外商标证书</t>
    </r>
    <r>
      <rPr>
        <sz val="10"/>
        <color theme="1"/>
        <rFont val="Arial Narrow"/>
        <charset val="134"/>
      </rPr>
      <t>21</t>
    </r>
    <r>
      <rPr>
        <sz val="10"/>
        <color theme="1"/>
        <rFont val="宋体"/>
        <charset val="134"/>
      </rPr>
      <t>年</t>
    </r>
    <r>
      <rPr>
        <sz val="10"/>
        <color theme="1"/>
        <rFont val="Arial Narrow"/>
        <charset val="134"/>
      </rPr>
      <t>9</t>
    </r>
    <r>
      <rPr>
        <sz val="10"/>
        <color theme="1"/>
        <rFont val="宋体"/>
        <charset val="134"/>
      </rPr>
      <t>月和</t>
    </r>
    <r>
      <rPr>
        <sz val="10"/>
        <color theme="1"/>
        <rFont val="Arial Narrow"/>
        <charset val="134"/>
      </rPr>
      <t>21</t>
    </r>
    <r>
      <rPr>
        <sz val="10"/>
        <color theme="1"/>
        <rFont val="宋体"/>
        <charset val="134"/>
      </rPr>
      <t>年</t>
    </r>
    <r>
      <rPr>
        <sz val="10"/>
        <color theme="1"/>
        <rFont val="Arial Narrow"/>
        <charset val="134"/>
      </rPr>
      <t>10</t>
    </r>
    <r>
      <rPr>
        <sz val="10"/>
        <color theme="1"/>
        <rFont val="宋体"/>
        <charset val="134"/>
      </rPr>
      <t>月</t>
    </r>
  </si>
  <si>
    <r>
      <rPr>
        <sz val="10"/>
        <rFont val="宋体"/>
        <charset val="134"/>
      </rPr>
      <t>天津市万蕾钢管有限公司</t>
    </r>
  </si>
  <si>
    <r>
      <rPr>
        <sz val="10"/>
        <color theme="1"/>
        <rFont val="Arial Narrow"/>
        <charset val="134"/>
      </rPr>
      <t>828.34</t>
    </r>
    <r>
      <rPr>
        <sz val="10"/>
        <color theme="1"/>
        <rFont val="宋体"/>
        <charset val="134"/>
      </rPr>
      <t>万元</t>
    </r>
  </si>
  <si>
    <r>
      <rPr>
        <sz val="10"/>
        <rFont val="宋体"/>
        <charset val="134"/>
      </rPr>
      <t>北辰区</t>
    </r>
  </si>
  <si>
    <r>
      <rPr>
        <sz val="10"/>
        <rFont val="宋体"/>
        <charset val="134"/>
      </rPr>
      <t>云建（天津）国际贸易有限公司</t>
    </r>
  </si>
  <si>
    <r>
      <rPr>
        <sz val="10"/>
        <color theme="1"/>
        <rFont val="Arial Narrow"/>
        <charset val="134"/>
      </rPr>
      <t>356</t>
    </r>
    <r>
      <rPr>
        <sz val="10"/>
        <color theme="1"/>
        <rFont val="宋体"/>
        <charset val="134"/>
      </rPr>
      <t>万元</t>
    </r>
  </si>
  <si>
    <r>
      <rPr>
        <sz val="10"/>
        <color theme="1"/>
        <rFont val="宋体"/>
        <charset val="134"/>
      </rPr>
      <t>购管理软件费</t>
    </r>
    <r>
      <rPr>
        <sz val="10"/>
        <color theme="1"/>
        <rFont val="Arial Narrow"/>
        <charset val="134"/>
      </rPr>
      <t>18000</t>
    </r>
    <r>
      <rPr>
        <sz val="10"/>
        <color theme="1"/>
        <rFont val="宋体"/>
        <charset val="134"/>
      </rPr>
      <t>元，合同签订</t>
    </r>
    <r>
      <rPr>
        <sz val="10"/>
        <color theme="1"/>
        <rFont val="Arial Narrow"/>
        <charset val="134"/>
      </rPr>
      <t>2021.6.24</t>
    </r>
    <r>
      <rPr>
        <sz val="10"/>
        <color theme="1"/>
        <rFont val="宋体"/>
        <charset val="134"/>
      </rPr>
      <t>，有效期</t>
    </r>
    <r>
      <rPr>
        <sz val="10"/>
        <color theme="1"/>
        <rFont val="Arial Narrow"/>
        <charset val="134"/>
      </rPr>
      <t>24</t>
    </r>
    <r>
      <rPr>
        <sz val="10"/>
        <color theme="1"/>
        <rFont val="宋体"/>
        <charset val="134"/>
      </rPr>
      <t>个月，不在申报期内，不予支持，不影响上限</t>
    </r>
  </si>
  <si>
    <r>
      <rPr>
        <sz val="10"/>
        <rFont val="宋体"/>
        <charset val="134"/>
      </rPr>
      <t>伟丰（天津）国际贸易有限公司</t>
    </r>
  </si>
  <si>
    <r>
      <rPr>
        <sz val="10"/>
        <color theme="1"/>
        <rFont val="Arial Narrow"/>
        <charset val="134"/>
      </rPr>
      <t>64.34</t>
    </r>
    <r>
      <rPr>
        <sz val="10"/>
        <color theme="1"/>
        <rFont val="宋体"/>
        <charset val="134"/>
      </rPr>
      <t>万元</t>
    </r>
  </si>
  <si>
    <r>
      <rPr>
        <sz val="10"/>
        <color theme="1"/>
        <rFont val="Arial Narrow"/>
        <charset val="134"/>
      </rPr>
      <t>3250</t>
    </r>
    <r>
      <rPr>
        <sz val="10"/>
        <color theme="1"/>
        <rFont val="宋体"/>
        <charset val="134"/>
      </rPr>
      <t>美元报关单出口日期</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</si>
  <si>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rFont val="宋体"/>
        <charset val="134"/>
      </rPr>
      <t>红桥区</t>
    </r>
  </si>
  <si>
    <r>
      <rPr>
        <sz val="10"/>
        <rFont val="宋体"/>
        <charset val="134"/>
      </rPr>
      <t>天津友圣发国际贸易有限公司</t>
    </r>
  </si>
  <si>
    <r>
      <rPr>
        <sz val="10"/>
        <color theme="1"/>
        <rFont val="Arial Narrow"/>
        <charset val="134"/>
      </rPr>
      <t>2934.29</t>
    </r>
    <r>
      <rPr>
        <sz val="10"/>
        <color theme="1"/>
        <rFont val="宋体"/>
        <charset val="134"/>
      </rPr>
      <t>万元</t>
    </r>
  </si>
  <si>
    <r>
      <rPr>
        <sz val="10"/>
        <rFont val="宋体"/>
        <charset val="134"/>
      </rPr>
      <t>和平区</t>
    </r>
  </si>
  <si>
    <r>
      <rPr>
        <sz val="10"/>
        <rFont val="宋体"/>
        <charset val="134"/>
      </rPr>
      <t>易跨竞（天津）科技发展有限公司</t>
    </r>
  </si>
  <si>
    <r>
      <rPr>
        <sz val="10"/>
        <rFont val="宋体"/>
        <charset val="134"/>
      </rPr>
      <t>亚马逊</t>
    </r>
  </si>
  <si>
    <t>9710      9810</t>
  </si>
  <si>
    <r>
      <rPr>
        <sz val="10"/>
        <color theme="1"/>
        <rFont val="Arial Narrow"/>
        <charset val="134"/>
      </rPr>
      <t>2060.33+1340.97</t>
    </r>
    <r>
      <rPr>
        <sz val="10"/>
        <color theme="1"/>
        <rFont val="宋体"/>
        <charset val="134"/>
      </rPr>
      <t>万元</t>
    </r>
  </si>
  <si>
    <r>
      <rPr>
        <sz val="10"/>
        <color theme="1"/>
        <rFont val="宋体"/>
        <charset val="134"/>
      </rPr>
      <t>亚马逊平台账单，</t>
    </r>
    <r>
      <rPr>
        <sz val="10"/>
        <color theme="1"/>
        <rFont val="Arial Narrow"/>
        <charset val="134"/>
      </rPr>
      <t>9710+9810</t>
    </r>
    <r>
      <rPr>
        <sz val="10"/>
        <color theme="1"/>
        <rFont val="宋体"/>
        <charset val="134"/>
      </rPr>
      <t>两种方式够</t>
    </r>
    <r>
      <rPr>
        <sz val="10"/>
        <color theme="1"/>
        <rFont val="Arial Narrow"/>
        <charset val="134"/>
      </rPr>
      <t>2000</t>
    </r>
    <r>
      <rPr>
        <sz val="10"/>
        <color theme="1"/>
        <rFont val="宋体"/>
        <charset val="134"/>
      </rPr>
      <t>万</t>
    </r>
  </si>
  <si>
    <r>
      <rPr>
        <sz val="10"/>
        <rFont val="宋体"/>
        <charset val="134"/>
      </rPr>
      <t>静海区</t>
    </r>
  </si>
  <si>
    <r>
      <rPr>
        <sz val="10"/>
        <rFont val="宋体"/>
        <charset val="134"/>
      </rPr>
      <t>天津汇来国际贸易有限公司</t>
    </r>
  </si>
  <si>
    <r>
      <rPr>
        <sz val="10"/>
        <color theme="1"/>
        <rFont val="Arial Narrow"/>
        <charset val="134"/>
      </rPr>
      <t>2300</t>
    </r>
    <r>
      <rPr>
        <sz val="10"/>
        <color theme="1"/>
        <rFont val="宋体"/>
        <charset val="134"/>
      </rPr>
      <t>万元</t>
    </r>
  </si>
  <si>
    <r>
      <rPr>
        <sz val="10"/>
        <color theme="1"/>
        <rFont val="宋体"/>
        <charset val="134"/>
      </rPr>
      <t>报关单剔除</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r>
      <rPr>
        <sz val="10"/>
        <color theme="1"/>
        <rFont val="Arial Narrow"/>
        <charset val="134"/>
      </rPr>
      <t>871086.67</t>
    </r>
    <r>
      <rPr>
        <sz val="10"/>
        <color theme="1"/>
        <rFont val="宋体"/>
        <charset val="134"/>
      </rPr>
      <t>美元及运费</t>
    </r>
    <r>
      <rPr>
        <sz val="10"/>
        <color theme="1"/>
        <rFont val="Arial Narrow"/>
        <charset val="134"/>
      </rPr>
      <t>162461.12</t>
    </r>
    <r>
      <rPr>
        <sz val="10"/>
        <color theme="1"/>
        <rFont val="宋体"/>
        <charset val="134"/>
      </rPr>
      <t>美元后，出口规模掉档，已补充材料</t>
    </r>
  </si>
  <si>
    <r>
      <rPr>
        <sz val="10"/>
        <rFont val="宋体"/>
        <charset val="134"/>
      </rPr>
      <t>天津忠旺铝业有限公司</t>
    </r>
  </si>
  <si>
    <r>
      <rPr>
        <sz val="10"/>
        <rFont val="宋体"/>
        <charset val="134"/>
      </rPr>
      <t>公司官网</t>
    </r>
  </si>
  <si>
    <r>
      <rPr>
        <sz val="10"/>
        <color theme="1"/>
        <rFont val="Arial Narrow"/>
        <charset val="134"/>
      </rPr>
      <t>6930</t>
    </r>
    <r>
      <rPr>
        <sz val="10"/>
        <color theme="1"/>
        <rFont val="宋体"/>
        <charset val="134"/>
      </rPr>
      <t>万元</t>
    </r>
  </si>
  <si>
    <r>
      <rPr>
        <sz val="10"/>
        <color theme="1"/>
        <rFont val="宋体"/>
        <charset val="134"/>
      </rPr>
      <t>费用单据</t>
    </r>
    <r>
      <rPr>
        <sz val="10"/>
        <color theme="1"/>
        <rFont val="Arial Narrow"/>
        <charset val="134"/>
      </rPr>
      <t>2018</t>
    </r>
    <r>
      <rPr>
        <sz val="10"/>
        <color theme="1"/>
        <rFont val="宋体"/>
        <charset val="134"/>
      </rPr>
      <t>年，高新证书</t>
    </r>
    <r>
      <rPr>
        <sz val="10"/>
        <color theme="1"/>
        <rFont val="Arial Narrow"/>
        <charset val="134"/>
      </rPr>
      <t>2021.10.9</t>
    </r>
    <r>
      <rPr>
        <sz val="10"/>
        <color theme="1"/>
        <rFont val="宋体"/>
        <charset val="134"/>
      </rPr>
      <t>，不影响上限，若干张空白金额的报关单，不影响档位，合同签订日期</t>
    </r>
    <r>
      <rPr>
        <sz val="10"/>
        <color theme="1"/>
        <rFont val="Arial Narrow"/>
        <charset val="134"/>
      </rPr>
      <t>2018.5.8</t>
    </r>
    <r>
      <rPr>
        <sz val="10"/>
        <color theme="1"/>
        <rFont val="宋体"/>
        <charset val="134"/>
      </rPr>
      <t>，有效期</t>
    </r>
    <r>
      <rPr>
        <sz val="10"/>
        <color theme="1"/>
        <rFont val="Arial Narrow"/>
        <charset val="134"/>
      </rPr>
      <t>4</t>
    </r>
    <r>
      <rPr>
        <sz val="10"/>
        <color theme="1"/>
        <rFont val="宋体"/>
        <charset val="134"/>
      </rPr>
      <t>年，水单和发票</t>
    </r>
    <r>
      <rPr>
        <sz val="10"/>
        <color theme="1"/>
        <rFont val="Arial Narrow"/>
        <charset val="134"/>
      </rPr>
      <t>2018</t>
    </r>
    <r>
      <rPr>
        <sz val="10"/>
        <color theme="1"/>
        <rFont val="宋体"/>
        <charset val="134"/>
      </rPr>
      <t>年</t>
    </r>
    <r>
      <rPr>
        <sz val="10"/>
        <color theme="1"/>
        <rFont val="Arial Narrow"/>
        <charset val="134"/>
      </rPr>
      <t>5</t>
    </r>
    <r>
      <rPr>
        <sz val="10"/>
        <color theme="1"/>
        <rFont val="宋体"/>
        <charset val="134"/>
      </rPr>
      <t>月</t>
    </r>
  </si>
  <si>
    <r>
      <rPr>
        <sz val="10"/>
        <rFont val="宋体"/>
        <charset val="134"/>
      </rPr>
      <t>天津市润飞贸易有限公司</t>
    </r>
  </si>
  <si>
    <r>
      <rPr>
        <sz val="10"/>
        <color theme="1"/>
        <rFont val="宋体"/>
        <charset val="134"/>
      </rPr>
      <t>约</t>
    </r>
    <r>
      <rPr>
        <sz val="10"/>
        <color theme="1"/>
        <rFont val="Arial Narrow"/>
        <charset val="134"/>
      </rPr>
      <t>10860</t>
    </r>
    <r>
      <rPr>
        <sz val="10"/>
        <color theme="1"/>
        <rFont val="宋体"/>
        <charset val="134"/>
      </rPr>
      <t>万元</t>
    </r>
  </si>
  <si>
    <r>
      <rPr>
        <sz val="10"/>
        <color theme="1"/>
        <rFont val="Arial Narrow"/>
        <charset val="134"/>
      </rPr>
      <t>10000+29800</t>
    </r>
    <r>
      <rPr>
        <sz val="10"/>
        <color theme="1"/>
        <rFont val="宋体"/>
        <charset val="134"/>
      </rPr>
      <t>元</t>
    </r>
    <r>
      <rPr>
        <sz val="10"/>
        <color theme="1"/>
        <rFont val="Arial Narrow"/>
        <charset val="134"/>
      </rPr>
      <t>+51800+52000</t>
    </r>
    <r>
      <rPr>
        <sz val="10"/>
        <color theme="1"/>
        <rFont val="宋体"/>
        <charset val="134"/>
      </rPr>
      <t>费用合同有效期不在申报期内，</t>
    </r>
    <r>
      <rPr>
        <sz val="10"/>
        <color theme="1"/>
        <rFont val="Arial Narrow"/>
        <charset val="134"/>
      </rPr>
      <t>52000</t>
    </r>
    <r>
      <rPr>
        <sz val="10"/>
        <color theme="1"/>
        <rFont val="宋体"/>
        <charset val="134"/>
      </rPr>
      <t>元费用票据单位不是申报单位</t>
    </r>
  </si>
  <si>
    <r>
      <rPr>
        <sz val="10"/>
        <rFont val="宋体"/>
        <charset val="134"/>
      </rPr>
      <t>天津力为国际贸易有限公司</t>
    </r>
  </si>
  <si>
    <r>
      <rPr>
        <sz val="10"/>
        <color theme="1"/>
        <rFont val="Arial Narrow"/>
        <charset val="134"/>
      </rPr>
      <t>1037.67</t>
    </r>
    <r>
      <rPr>
        <sz val="10"/>
        <color theme="1"/>
        <rFont val="宋体"/>
        <charset val="134"/>
      </rPr>
      <t>万元</t>
    </r>
  </si>
  <si>
    <r>
      <rPr>
        <sz val="10"/>
        <color theme="1"/>
        <rFont val="宋体"/>
        <charset val="134"/>
      </rPr>
      <t>发票、水单内容与合同内容不符，已补充材料</t>
    </r>
  </si>
  <si>
    <t>天津世通力为办公家具贸易有限公司</t>
  </si>
  <si>
    <r>
      <rPr>
        <sz val="10"/>
        <color theme="1"/>
        <rFont val="Arial Narrow"/>
        <charset val="134"/>
      </rPr>
      <t>54.4</t>
    </r>
    <r>
      <rPr>
        <sz val="10"/>
        <color theme="1"/>
        <rFont val="宋体"/>
        <charset val="134"/>
      </rPr>
      <t>万元</t>
    </r>
  </si>
  <si>
    <r>
      <rPr>
        <sz val="10"/>
        <color theme="1"/>
        <rFont val="Arial Narrow"/>
        <charset val="134"/>
      </rPr>
      <t>1</t>
    </r>
    <r>
      <rPr>
        <sz val="10"/>
        <color theme="1"/>
        <rFont val="宋体"/>
        <charset val="134"/>
      </rPr>
      <t>笔</t>
    </r>
    <r>
      <rPr>
        <sz val="10"/>
        <color theme="1"/>
        <rFont val="Arial Narrow"/>
        <charset val="134"/>
      </rPr>
      <t>8</t>
    </r>
    <r>
      <rPr>
        <sz val="10"/>
        <color theme="1"/>
        <rFont val="宋体"/>
        <charset val="134"/>
      </rPr>
      <t>万的费用合同为</t>
    </r>
    <r>
      <rPr>
        <sz val="10"/>
        <color theme="1"/>
        <rFont val="Arial Narrow"/>
        <charset val="134"/>
      </rPr>
      <t>2018</t>
    </r>
    <r>
      <rPr>
        <sz val="10"/>
        <color theme="1"/>
        <rFont val="宋体"/>
        <charset val="134"/>
      </rPr>
      <t>年</t>
    </r>
    <r>
      <rPr>
        <sz val="10"/>
        <color theme="1"/>
        <rFont val="Arial Narrow"/>
        <charset val="134"/>
      </rPr>
      <t>6</t>
    </r>
    <r>
      <rPr>
        <sz val="10"/>
        <color theme="1"/>
        <rFont val="宋体"/>
        <charset val="134"/>
      </rPr>
      <t>月签订，有效期为自信息发布之日起</t>
    </r>
    <r>
      <rPr>
        <sz val="10"/>
        <color theme="1"/>
        <rFont val="Arial Narrow"/>
        <charset val="134"/>
      </rPr>
      <t>12</t>
    </r>
    <r>
      <rPr>
        <sz val="10"/>
        <color theme="1"/>
        <rFont val="宋体"/>
        <charset val="134"/>
      </rPr>
      <t>个月内，合同有效期不在申报期内，不予支持，不影响上限</t>
    </r>
  </si>
  <si>
    <r>
      <rPr>
        <sz val="10"/>
        <rFont val="宋体"/>
        <charset val="134"/>
      </rPr>
      <t>南开区</t>
    </r>
  </si>
  <si>
    <r>
      <rPr>
        <sz val="10"/>
        <rFont val="宋体"/>
        <charset val="134"/>
      </rPr>
      <t>天津福格斯进出口贸易有限公司</t>
    </r>
  </si>
  <si>
    <r>
      <rPr>
        <sz val="10"/>
        <color theme="1"/>
        <rFont val="Arial Narrow"/>
        <charset val="134"/>
      </rPr>
      <t>776533.45</t>
    </r>
    <r>
      <rPr>
        <sz val="10"/>
        <color theme="1"/>
        <rFont val="宋体"/>
        <charset val="134"/>
      </rPr>
      <t>元</t>
    </r>
  </si>
  <si>
    <r>
      <rPr>
        <sz val="10"/>
        <rFont val="宋体"/>
        <charset val="134"/>
      </rPr>
      <t>天津晟美天源国际贸易有限公司</t>
    </r>
  </si>
  <si>
    <r>
      <rPr>
        <sz val="10"/>
        <color theme="1"/>
        <rFont val="Arial Narrow"/>
        <charset val="134"/>
      </rPr>
      <t>2639.15</t>
    </r>
    <r>
      <rPr>
        <sz val="10"/>
        <color theme="1"/>
        <rFont val="宋体"/>
        <charset val="134"/>
      </rPr>
      <t>万元</t>
    </r>
  </si>
  <si>
    <r>
      <rPr>
        <sz val="10"/>
        <rFont val="宋体"/>
        <charset val="134"/>
      </rPr>
      <t>天津民杰科技股份有限公司</t>
    </r>
  </si>
  <si>
    <r>
      <rPr>
        <sz val="10"/>
        <color theme="1"/>
        <rFont val="Arial Narrow"/>
        <charset val="134"/>
      </rPr>
      <t>320</t>
    </r>
    <r>
      <rPr>
        <sz val="10"/>
        <color theme="1"/>
        <rFont val="宋体"/>
        <charset val="134"/>
      </rPr>
      <t>万元</t>
    </r>
  </si>
  <si>
    <r>
      <rPr>
        <sz val="10"/>
        <rFont val="宋体"/>
        <charset val="134"/>
      </rPr>
      <t>天津鑫晟供应链管理有限公司</t>
    </r>
  </si>
  <si>
    <r>
      <rPr>
        <sz val="10"/>
        <rFont val="宋体"/>
        <charset val="134"/>
      </rPr>
      <t>京东国际</t>
    </r>
  </si>
  <si>
    <r>
      <rPr>
        <sz val="10"/>
        <color theme="1"/>
        <rFont val="宋体"/>
        <charset val="134"/>
      </rPr>
      <t>和京东合作，无平台费用发生</t>
    </r>
  </si>
  <si>
    <r>
      <rPr>
        <sz val="10"/>
        <rFont val="宋体"/>
        <charset val="134"/>
      </rPr>
      <t>天津广大纸业股份有限公司</t>
    </r>
  </si>
  <si>
    <r>
      <rPr>
        <sz val="10"/>
        <color theme="1"/>
        <rFont val="Arial Narrow"/>
        <charset val="134"/>
      </rPr>
      <t>318.9</t>
    </r>
    <r>
      <rPr>
        <sz val="10"/>
        <color theme="1"/>
        <rFont val="宋体"/>
        <charset val="134"/>
      </rPr>
      <t>万元</t>
    </r>
  </si>
  <si>
    <r>
      <rPr>
        <sz val="10"/>
        <rFont val="宋体"/>
        <charset val="134"/>
      </rPr>
      <t>天津泰如进出口贸易有限公司</t>
    </r>
  </si>
  <si>
    <r>
      <rPr>
        <sz val="10"/>
        <color theme="1"/>
        <rFont val="Arial Narrow"/>
        <charset val="134"/>
      </rPr>
      <t>352</t>
    </r>
    <r>
      <rPr>
        <sz val="10"/>
        <color theme="1"/>
        <rFont val="宋体"/>
        <charset val="134"/>
      </rPr>
      <t>万元</t>
    </r>
  </si>
  <si>
    <r>
      <rPr>
        <sz val="10"/>
        <rFont val="宋体"/>
        <charset val="134"/>
      </rPr>
      <t>宁河区</t>
    </r>
  </si>
  <si>
    <r>
      <rPr>
        <sz val="10"/>
        <rFont val="宋体"/>
        <charset val="134"/>
      </rPr>
      <t>鸿威新科（天津）装饰材料有限公司</t>
    </r>
  </si>
  <si>
    <r>
      <rPr>
        <sz val="10"/>
        <color theme="1"/>
        <rFont val="Arial Narrow"/>
        <charset val="134"/>
      </rPr>
      <t>567</t>
    </r>
    <r>
      <rPr>
        <sz val="10"/>
        <color theme="1"/>
        <rFont val="宋体"/>
        <charset val="134"/>
      </rPr>
      <t>万元</t>
    </r>
  </si>
  <si>
    <r>
      <rPr>
        <sz val="10"/>
        <color theme="1"/>
        <rFont val="宋体"/>
        <charset val="134"/>
      </rPr>
      <t>高新证书</t>
    </r>
    <r>
      <rPr>
        <sz val="10"/>
        <color theme="1"/>
        <rFont val="Arial Narrow"/>
        <charset val="134"/>
      </rPr>
      <t>2020.12.1</t>
    </r>
  </si>
  <si>
    <r>
      <rPr>
        <sz val="10"/>
        <rFont val="宋体"/>
        <charset val="134"/>
      </rPr>
      <t>天津市力拓进出口有限公司</t>
    </r>
  </si>
  <si>
    <r>
      <rPr>
        <sz val="10"/>
        <color theme="1"/>
        <rFont val="Arial Narrow"/>
        <charset val="134"/>
      </rPr>
      <t>125.39</t>
    </r>
    <r>
      <rPr>
        <sz val="10"/>
        <color theme="1"/>
        <rFont val="宋体"/>
        <charset val="134"/>
      </rPr>
      <t>万元</t>
    </r>
  </si>
  <si>
    <r>
      <rPr>
        <sz val="10"/>
        <rFont val="宋体"/>
        <charset val="134"/>
      </rPr>
      <t>天津摩登时代商贸有限公司</t>
    </r>
  </si>
  <si>
    <r>
      <rPr>
        <sz val="10"/>
        <color theme="1"/>
        <rFont val="Arial Narrow"/>
        <charset val="134"/>
      </rPr>
      <t>66882</t>
    </r>
    <r>
      <rPr>
        <sz val="10"/>
        <color theme="1"/>
        <rFont val="宋体"/>
        <charset val="134"/>
      </rPr>
      <t>美元</t>
    </r>
  </si>
  <si>
    <r>
      <rPr>
        <sz val="10"/>
        <rFont val="宋体"/>
        <charset val="134"/>
      </rPr>
      <t>天津世纪五矿贸易有限公司</t>
    </r>
  </si>
  <si>
    <r>
      <rPr>
        <sz val="10"/>
        <color theme="1"/>
        <rFont val="Arial Narrow"/>
        <charset val="134"/>
      </rPr>
      <t>2128.6</t>
    </r>
    <r>
      <rPr>
        <sz val="10"/>
        <color theme="1"/>
        <rFont val="宋体"/>
        <charset val="134"/>
      </rPr>
      <t>万元</t>
    </r>
  </si>
  <si>
    <r>
      <rPr>
        <sz val="10"/>
        <rFont val="宋体"/>
        <charset val="134"/>
      </rPr>
      <t>天津市南翔板带有限公司</t>
    </r>
  </si>
  <si>
    <r>
      <rPr>
        <sz val="10"/>
        <color theme="1"/>
        <rFont val="Arial Narrow"/>
        <charset val="134"/>
      </rPr>
      <t>459295.57</t>
    </r>
    <r>
      <rPr>
        <sz val="10"/>
        <color theme="1"/>
        <rFont val="宋体"/>
        <charset val="134"/>
      </rPr>
      <t>美元</t>
    </r>
  </si>
  <si>
    <r>
      <rPr>
        <sz val="10"/>
        <color theme="1"/>
        <rFont val="Arial Narrow"/>
        <charset val="134"/>
      </rPr>
      <t>27185.76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</si>
  <si>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rFont val="宋体"/>
        <charset val="134"/>
      </rPr>
      <t>天津市永信国际贸易有限公司</t>
    </r>
  </si>
  <si>
    <r>
      <rPr>
        <sz val="10"/>
        <color theme="1"/>
        <rFont val="Arial Narrow"/>
        <charset val="134"/>
      </rPr>
      <t>2016146.57</t>
    </r>
    <r>
      <rPr>
        <sz val="10"/>
        <color theme="1"/>
        <rFont val="宋体"/>
        <charset val="134"/>
      </rPr>
      <t>美元</t>
    </r>
  </si>
  <si>
    <r>
      <rPr>
        <sz val="10"/>
        <color theme="1"/>
        <rFont val="Arial Narrow"/>
        <charset val="134"/>
      </rPr>
      <t>333441.71+5530</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月，不影响档位</t>
    </r>
  </si>
  <si>
    <r>
      <rPr>
        <sz val="10"/>
        <rFont val="宋体"/>
        <charset val="134"/>
      </rPr>
      <t>天津凯杰国际贸易有限公司</t>
    </r>
  </si>
  <si>
    <r>
      <rPr>
        <sz val="10"/>
        <color theme="1"/>
        <rFont val="宋体"/>
        <charset val="134"/>
      </rPr>
      <t>报关单出口日期</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月以后，已联系说无申报期内报关单可补，不予支持</t>
    </r>
  </si>
  <si>
    <r>
      <rPr>
        <sz val="10"/>
        <rFont val="宋体"/>
        <charset val="134"/>
      </rPr>
      <t>深之蓝（天津）水下智能科技有限公司</t>
    </r>
  </si>
  <si>
    <r>
      <rPr>
        <sz val="10"/>
        <rFont val="宋体"/>
        <charset val="134"/>
      </rPr>
      <t>亚马逊、</t>
    </r>
    <r>
      <rPr>
        <sz val="10"/>
        <rFont val="Arial Narrow"/>
        <charset val="134"/>
      </rPr>
      <t>sublue</t>
    </r>
  </si>
  <si>
    <r>
      <rPr>
        <sz val="10"/>
        <color theme="1"/>
        <rFont val="Arial Narrow"/>
        <charset val="134"/>
      </rPr>
      <t>3194</t>
    </r>
    <r>
      <rPr>
        <sz val="10"/>
        <color theme="1"/>
        <rFont val="宋体"/>
        <charset val="134"/>
      </rPr>
      <t>万元</t>
    </r>
  </si>
  <si>
    <r>
      <rPr>
        <sz val="10"/>
        <rFont val="宋体"/>
        <charset val="134"/>
      </rPr>
      <t>天津商泽外贸综合服务有限公司</t>
    </r>
  </si>
  <si>
    <r>
      <rPr>
        <sz val="10"/>
        <color theme="1"/>
        <rFont val="Arial Narrow"/>
        <charset val="134"/>
      </rPr>
      <t>180</t>
    </r>
    <r>
      <rPr>
        <sz val="10"/>
        <color theme="1"/>
        <rFont val="宋体"/>
        <charset val="134"/>
      </rPr>
      <t>欧元</t>
    </r>
  </si>
  <si>
    <r>
      <rPr>
        <sz val="10"/>
        <color theme="1"/>
        <rFont val="宋体"/>
        <charset val="134"/>
      </rPr>
      <t>费用单据日期为</t>
    </r>
    <r>
      <rPr>
        <sz val="10"/>
        <color theme="1"/>
        <rFont val="Arial Narrow"/>
        <charset val="134"/>
      </rPr>
      <t>2019</t>
    </r>
    <r>
      <rPr>
        <sz val="10"/>
        <color theme="1"/>
        <rFont val="宋体"/>
        <charset val="134"/>
      </rPr>
      <t>年</t>
    </r>
  </si>
  <si>
    <r>
      <rPr>
        <sz val="10"/>
        <rFont val="宋体"/>
        <charset val="134"/>
      </rPr>
      <t>天津市普光医用材料制造有限公司</t>
    </r>
  </si>
  <si>
    <r>
      <rPr>
        <sz val="10"/>
        <color theme="1"/>
        <rFont val="Arial Narrow"/>
        <charset val="134"/>
      </rPr>
      <t>3221870.9</t>
    </r>
    <r>
      <rPr>
        <sz val="10"/>
        <color theme="1"/>
        <rFont val="宋体"/>
        <charset val="134"/>
      </rPr>
      <t>美元</t>
    </r>
  </si>
  <si>
    <r>
      <rPr>
        <sz val="10"/>
        <color theme="1"/>
        <rFont val="宋体"/>
        <charset val="134"/>
      </rPr>
      <t>水单日期</t>
    </r>
    <r>
      <rPr>
        <sz val="10"/>
        <color theme="1"/>
        <rFont val="Arial Narrow"/>
        <charset val="134"/>
      </rPr>
      <t>2019.11</t>
    </r>
    <r>
      <rPr>
        <sz val="10"/>
        <color theme="1"/>
        <rFont val="宋体"/>
        <charset val="134"/>
      </rPr>
      <t>及</t>
    </r>
    <r>
      <rPr>
        <sz val="10"/>
        <color theme="1"/>
        <rFont val="Arial Narrow"/>
        <charset val="134"/>
      </rPr>
      <t>2011.11</t>
    </r>
    <r>
      <rPr>
        <sz val="10"/>
        <color theme="1"/>
        <rFont val="宋体"/>
        <charset val="134"/>
      </rPr>
      <t>，</t>
    </r>
    <r>
      <rPr>
        <sz val="10"/>
        <color theme="1"/>
        <rFont val="Arial Narrow"/>
        <charset val="134"/>
      </rPr>
      <t>88238.16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r>
      <rPr>
        <sz val="10"/>
        <color theme="1"/>
        <rFont val="Arial Narrow"/>
        <charset val="134"/>
      </rPr>
      <t>,</t>
    </r>
    <r>
      <rPr>
        <sz val="10"/>
        <color theme="1"/>
        <rFont val="宋体"/>
        <charset val="134"/>
      </rPr>
      <t>不影响档位，高新证书</t>
    </r>
    <r>
      <rPr>
        <sz val="10"/>
        <color theme="1"/>
        <rFont val="Arial Narrow"/>
        <charset val="134"/>
      </rPr>
      <t>2020.10.28</t>
    </r>
  </si>
  <si>
    <r>
      <rPr>
        <sz val="10"/>
        <rFont val="宋体"/>
        <charset val="134"/>
      </rPr>
      <t>天津丝绸进出口股份有限公司</t>
    </r>
  </si>
  <si>
    <r>
      <rPr>
        <sz val="10"/>
        <rFont val="宋体"/>
        <charset val="134"/>
      </rPr>
      <t>询盘云</t>
    </r>
  </si>
  <si>
    <r>
      <rPr>
        <sz val="10"/>
        <color theme="1"/>
        <rFont val="Arial Narrow"/>
        <charset val="134"/>
      </rPr>
      <t>5360</t>
    </r>
    <r>
      <rPr>
        <sz val="10"/>
        <color theme="1"/>
        <rFont val="宋体"/>
        <charset val="134"/>
      </rPr>
      <t>万元</t>
    </r>
  </si>
  <si>
    <r>
      <rPr>
        <sz val="10"/>
        <color theme="1"/>
        <rFont val="Arial Narrow"/>
        <charset val="134"/>
      </rPr>
      <t>51200</t>
    </r>
    <r>
      <rPr>
        <sz val="10"/>
        <color theme="1"/>
        <rFont val="宋体"/>
        <charset val="134"/>
      </rPr>
      <t>元为公司系统维护费用，不予支持，</t>
    </r>
    <r>
      <rPr>
        <sz val="10"/>
        <color theme="1"/>
        <rFont val="Arial Narrow"/>
        <charset val="134"/>
      </rPr>
      <t>274410.44</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月，曾用名北方国际集团天津丝绸进出口股份有限公司，已补更名材料</t>
    </r>
  </si>
  <si>
    <r>
      <rPr>
        <sz val="10"/>
        <rFont val="宋体"/>
        <charset val="134"/>
      </rPr>
      <t>建支国际贸易（天津）有限公司</t>
    </r>
  </si>
  <si>
    <r>
      <rPr>
        <sz val="10"/>
        <color theme="1"/>
        <rFont val="Arial Narrow"/>
        <charset val="134"/>
      </rPr>
      <t>42027.44</t>
    </r>
    <r>
      <rPr>
        <sz val="10"/>
        <color theme="1"/>
        <rFont val="宋体"/>
        <charset val="134"/>
      </rPr>
      <t>万元</t>
    </r>
  </si>
  <si>
    <r>
      <rPr>
        <sz val="10"/>
        <color theme="1"/>
        <rFont val="宋体"/>
        <charset val="134"/>
      </rPr>
      <t>申报出口规模多写个万字，海外商标注册单位是母公司，不影响上限</t>
    </r>
  </si>
  <si>
    <r>
      <rPr>
        <sz val="10"/>
        <rFont val="宋体"/>
        <charset val="134"/>
      </rPr>
      <t>天津中物网络科技股份公司</t>
    </r>
  </si>
  <si>
    <r>
      <rPr>
        <sz val="10"/>
        <rFont val="Arial Narrow"/>
        <charset val="134"/>
      </rPr>
      <t xml:space="preserve">  </t>
    </r>
    <r>
      <rPr>
        <sz val="10"/>
        <rFont val="宋体"/>
        <charset val="134"/>
      </rPr>
      <t>跨境电商转型</t>
    </r>
  </si>
  <si>
    <r>
      <rPr>
        <sz val="10"/>
        <color theme="1"/>
        <rFont val="Arial Narrow"/>
        <charset val="134"/>
      </rPr>
      <t>7745.09</t>
    </r>
    <r>
      <rPr>
        <sz val="10"/>
        <color theme="1"/>
        <rFont val="宋体"/>
        <charset val="134"/>
      </rPr>
      <t>万元</t>
    </r>
  </si>
  <si>
    <r>
      <rPr>
        <sz val="10"/>
        <color theme="1"/>
        <rFont val="宋体"/>
        <charset val="134"/>
      </rPr>
      <t>自营平台，申报服务器年费、域名费，无合同、有发票水单</t>
    </r>
  </si>
  <si>
    <r>
      <rPr>
        <sz val="10"/>
        <rFont val="宋体"/>
        <charset val="134"/>
      </rPr>
      <t>天津盛荣纺织品有限公司</t>
    </r>
  </si>
  <si>
    <r>
      <rPr>
        <sz val="10"/>
        <color theme="1"/>
        <rFont val="Arial Narrow"/>
        <charset val="134"/>
      </rPr>
      <t>96</t>
    </r>
    <r>
      <rPr>
        <sz val="10"/>
        <color theme="1"/>
        <rFont val="宋体"/>
        <charset val="134"/>
      </rPr>
      <t>万元</t>
    </r>
  </si>
  <si>
    <r>
      <rPr>
        <sz val="10"/>
        <color theme="1"/>
        <rFont val="宋体"/>
        <charset val="134"/>
      </rPr>
      <t>发票日期为</t>
    </r>
    <r>
      <rPr>
        <sz val="10"/>
        <color theme="1"/>
        <rFont val="Arial Narrow"/>
        <charset val="134"/>
      </rPr>
      <t>2022</t>
    </r>
    <r>
      <rPr>
        <sz val="10"/>
        <color theme="1"/>
        <rFont val="宋体"/>
        <charset val="134"/>
      </rPr>
      <t>年</t>
    </r>
    <r>
      <rPr>
        <sz val="10"/>
        <color theme="1"/>
        <rFont val="Arial Narrow"/>
        <charset val="134"/>
      </rPr>
      <t>8</t>
    </r>
    <r>
      <rPr>
        <sz val="10"/>
        <color theme="1"/>
        <rFont val="宋体"/>
        <charset val="134"/>
      </rPr>
      <t>月，</t>
    </r>
    <r>
      <rPr>
        <sz val="10"/>
        <color theme="1"/>
        <rFont val="Arial Narrow"/>
        <charset val="134"/>
      </rPr>
      <t>47577.6</t>
    </r>
    <r>
      <rPr>
        <sz val="10"/>
        <color theme="1"/>
        <rFont val="宋体"/>
        <charset val="134"/>
      </rPr>
      <t>美元报关单出口日期为</t>
    </r>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t>
    </r>
  </si>
  <si>
    <t>天津市安赛乐米塔尔钢铁贸易有限公司</t>
  </si>
  <si>
    <r>
      <rPr>
        <sz val="10"/>
        <color theme="1"/>
        <rFont val="Arial Narrow"/>
        <charset val="134"/>
      </rPr>
      <t>98.1</t>
    </r>
    <r>
      <rPr>
        <sz val="10"/>
        <color theme="1"/>
        <rFont val="宋体"/>
        <charset val="134"/>
      </rPr>
      <t>万元</t>
    </r>
  </si>
  <si>
    <r>
      <rPr>
        <sz val="10"/>
        <rFont val="宋体"/>
        <charset val="134"/>
      </rPr>
      <t>天津恒华管道技术有限公司</t>
    </r>
  </si>
  <si>
    <r>
      <rPr>
        <sz val="10"/>
        <color theme="1"/>
        <rFont val="Arial Narrow"/>
        <charset val="134"/>
      </rPr>
      <t>52</t>
    </r>
    <r>
      <rPr>
        <sz val="10"/>
        <color theme="1"/>
        <rFont val="宋体"/>
        <charset val="134"/>
      </rPr>
      <t>万元</t>
    </r>
  </si>
  <si>
    <r>
      <rPr>
        <sz val="10"/>
        <rFont val="宋体"/>
        <charset val="134"/>
      </rPr>
      <t>天津铠达科技有限公司</t>
    </r>
  </si>
  <si>
    <r>
      <rPr>
        <sz val="10"/>
        <color theme="1"/>
        <rFont val="Arial Narrow"/>
        <charset val="134"/>
      </rPr>
      <t>25</t>
    </r>
    <r>
      <rPr>
        <sz val="10"/>
        <color theme="1"/>
        <rFont val="宋体"/>
        <charset val="134"/>
      </rPr>
      <t>万元</t>
    </r>
  </si>
  <si>
    <r>
      <rPr>
        <sz val="10"/>
        <color theme="1"/>
        <rFont val="宋体"/>
        <charset val="134"/>
      </rPr>
      <t>一张报关单，申报日期</t>
    </r>
    <r>
      <rPr>
        <sz val="10"/>
        <color theme="1"/>
        <rFont val="Arial Narrow"/>
        <charset val="134"/>
      </rPr>
      <t>2021.6.28</t>
    </r>
    <r>
      <rPr>
        <sz val="10"/>
        <color theme="1"/>
        <rFont val="宋体"/>
        <charset val="134"/>
      </rPr>
      <t>，出口日期</t>
    </r>
    <r>
      <rPr>
        <sz val="10"/>
        <color theme="1"/>
        <rFont val="Arial Narrow"/>
        <charset val="134"/>
      </rPr>
      <t>2021.7.3</t>
    </r>
  </si>
  <si>
    <r>
      <rPr>
        <sz val="10"/>
        <rFont val="宋体"/>
        <charset val="134"/>
      </rPr>
      <t>天津市瑞源电工器材有限公司</t>
    </r>
  </si>
  <si>
    <r>
      <rPr>
        <sz val="10"/>
        <rFont val="宋体"/>
        <charset val="134"/>
      </rPr>
      <t>宜选网</t>
    </r>
  </si>
  <si>
    <r>
      <rPr>
        <sz val="10"/>
        <color theme="1"/>
        <rFont val="Arial Narrow"/>
        <charset val="134"/>
      </rPr>
      <t>16.26</t>
    </r>
    <r>
      <rPr>
        <sz val="10"/>
        <color theme="1"/>
        <rFont val="宋体"/>
        <charset val="134"/>
      </rPr>
      <t>万元</t>
    </r>
  </si>
  <si>
    <r>
      <rPr>
        <sz val="10"/>
        <rFont val="宋体"/>
        <charset val="134"/>
      </rPr>
      <t>天津维莱福进出口贸易有限公司</t>
    </r>
  </si>
  <si>
    <r>
      <rPr>
        <sz val="10"/>
        <color theme="1"/>
        <rFont val="Arial Narrow"/>
        <charset val="134"/>
      </rPr>
      <t>130</t>
    </r>
    <r>
      <rPr>
        <sz val="10"/>
        <color theme="1"/>
        <rFont val="宋体"/>
        <charset val="134"/>
      </rPr>
      <t>万元</t>
    </r>
  </si>
  <si>
    <r>
      <rPr>
        <sz val="10"/>
        <color theme="1"/>
        <rFont val="宋体"/>
        <charset val="134"/>
      </rPr>
      <t>无银行水单，发票日期</t>
    </r>
    <r>
      <rPr>
        <sz val="10"/>
        <color theme="1"/>
        <rFont val="Arial Narrow"/>
        <charset val="134"/>
      </rPr>
      <t>2022</t>
    </r>
    <r>
      <rPr>
        <sz val="10"/>
        <color theme="1"/>
        <rFont val="宋体"/>
        <charset val="134"/>
      </rPr>
      <t>年</t>
    </r>
    <r>
      <rPr>
        <sz val="10"/>
        <color theme="1"/>
        <rFont val="Arial Narrow"/>
        <charset val="134"/>
      </rPr>
      <t>8</t>
    </r>
    <r>
      <rPr>
        <sz val="10"/>
        <color theme="1"/>
        <rFont val="宋体"/>
        <charset val="134"/>
      </rPr>
      <t>月，放弃补贴</t>
    </r>
  </si>
  <si>
    <r>
      <rPr>
        <sz val="10"/>
        <color theme="1"/>
        <rFont val="宋体"/>
        <charset val="134"/>
      </rPr>
      <t>静海区</t>
    </r>
  </si>
  <si>
    <r>
      <rPr>
        <sz val="10"/>
        <color theme="1"/>
        <rFont val="宋体"/>
        <charset val="134"/>
      </rPr>
      <t>天津莱泽源环保科技有限公司</t>
    </r>
  </si>
  <si>
    <r>
      <rPr>
        <sz val="10"/>
        <color theme="1"/>
        <rFont val="宋体"/>
        <charset val="134"/>
      </rPr>
      <t>跨境电商转型</t>
    </r>
  </si>
  <si>
    <r>
      <rPr>
        <sz val="10"/>
        <color theme="1"/>
        <rFont val="宋体"/>
        <charset val="134"/>
      </rPr>
      <t>阿里巴巴国际站</t>
    </r>
  </si>
  <si>
    <r>
      <rPr>
        <sz val="10"/>
        <color theme="1"/>
        <rFont val="Arial Narrow"/>
        <charset val="134"/>
      </rPr>
      <t>140.4</t>
    </r>
    <r>
      <rPr>
        <sz val="10"/>
        <color theme="1"/>
        <rFont val="宋体"/>
        <charset val="134"/>
      </rPr>
      <t>万元</t>
    </r>
  </si>
  <si>
    <r>
      <rPr>
        <sz val="10"/>
        <color theme="1"/>
        <rFont val="宋体"/>
        <charset val="134"/>
      </rPr>
      <t>费用单据日期</t>
    </r>
    <r>
      <rPr>
        <sz val="10"/>
        <color theme="1"/>
        <rFont val="Arial Narrow"/>
        <charset val="134"/>
      </rPr>
      <t>2019</t>
    </r>
    <r>
      <rPr>
        <sz val="10"/>
        <color theme="1"/>
        <rFont val="宋体"/>
        <charset val="134"/>
      </rPr>
      <t>年</t>
    </r>
  </si>
  <si>
    <r>
      <rPr>
        <sz val="10"/>
        <rFont val="宋体"/>
        <charset val="134"/>
      </rPr>
      <t>天津中健国康纳米科技股份有限公司</t>
    </r>
  </si>
  <si>
    <r>
      <rPr>
        <sz val="10"/>
        <color theme="1"/>
        <rFont val="Arial Narrow"/>
        <charset val="134"/>
      </rPr>
      <t>469.48</t>
    </r>
    <r>
      <rPr>
        <sz val="10"/>
        <color theme="1"/>
        <rFont val="宋体"/>
        <charset val="134"/>
      </rPr>
      <t>万元</t>
    </r>
  </si>
  <si>
    <r>
      <rPr>
        <sz val="10"/>
        <color theme="1"/>
        <rFont val="宋体"/>
        <charset val="134"/>
      </rPr>
      <t>高新证书</t>
    </r>
    <r>
      <rPr>
        <sz val="10"/>
        <color theme="1"/>
        <rFont val="Arial Narrow"/>
        <charset val="134"/>
      </rPr>
      <t>2019.10.28</t>
    </r>
    <r>
      <rPr>
        <sz val="10"/>
        <color theme="1"/>
        <rFont val="宋体"/>
        <charset val="134"/>
      </rPr>
      <t>，申报代码</t>
    </r>
    <r>
      <rPr>
        <sz val="10"/>
        <color theme="1"/>
        <rFont val="Arial Narrow"/>
        <charset val="134"/>
      </rPr>
      <t>1210</t>
    </r>
    <r>
      <rPr>
        <sz val="10"/>
        <color theme="1"/>
        <rFont val="宋体"/>
        <charset val="134"/>
      </rPr>
      <t>，报关单代码</t>
    </r>
    <r>
      <rPr>
        <sz val="10"/>
        <color theme="1"/>
        <rFont val="Arial Narrow"/>
        <charset val="134"/>
      </rPr>
      <t>0110</t>
    </r>
  </si>
  <si>
    <r>
      <rPr>
        <sz val="10"/>
        <rFont val="宋体"/>
        <charset val="134"/>
      </rPr>
      <t>天津百益尔康科技发展有限公司</t>
    </r>
  </si>
  <si>
    <r>
      <rPr>
        <sz val="10"/>
        <color theme="1"/>
        <rFont val="Arial Narrow"/>
        <charset val="134"/>
      </rPr>
      <t>703.36</t>
    </r>
    <r>
      <rPr>
        <sz val="10"/>
        <color theme="1"/>
        <rFont val="宋体"/>
        <charset val="134"/>
      </rPr>
      <t>万元</t>
    </r>
  </si>
  <si>
    <r>
      <rPr>
        <sz val="10"/>
        <color theme="1"/>
        <rFont val="宋体"/>
        <charset val="134"/>
      </rPr>
      <t>曾用名天津百益尔康保健用品有限公司，已补更名材料，出口规模按申报金额算，申报代码</t>
    </r>
    <r>
      <rPr>
        <sz val="10"/>
        <color theme="1"/>
        <rFont val="Arial Narrow"/>
        <charset val="134"/>
      </rPr>
      <t>1210</t>
    </r>
    <r>
      <rPr>
        <sz val="10"/>
        <color theme="1"/>
        <rFont val="宋体"/>
        <charset val="134"/>
      </rPr>
      <t>，报关单代码</t>
    </r>
    <r>
      <rPr>
        <sz val="10"/>
        <color theme="1"/>
        <rFont val="Arial Narrow"/>
        <charset val="134"/>
      </rPr>
      <t>0110</t>
    </r>
  </si>
  <si>
    <r>
      <rPr>
        <sz val="10"/>
        <rFont val="宋体"/>
        <charset val="134"/>
      </rPr>
      <t>天津岱安金属材料有限公司</t>
    </r>
  </si>
  <si>
    <r>
      <rPr>
        <sz val="10"/>
        <color theme="1"/>
        <rFont val="Arial Narrow"/>
        <charset val="134"/>
      </rPr>
      <t>880.88</t>
    </r>
    <r>
      <rPr>
        <sz val="10"/>
        <color theme="1"/>
        <rFont val="宋体"/>
        <charset val="134"/>
      </rPr>
      <t>万元</t>
    </r>
  </si>
  <si>
    <r>
      <rPr>
        <sz val="10"/>
        <color theme="1"/>
        <rFont val="Arial Narrow"/>
        <charset val="134"/>
      </rPr>
      <t>2</t>
    </r>
    <r>
      <rPr>
        <sz val="10"/>
        <color theme="1"/>
        <rFont val="宋体"/>
        <charset val="134"/>
      </rPr>
      <t>笔水单为转给个人账户，金额看不到，不予支持，高新证书</t>
    </r>
    <r>
      <rPr>
        <sz val="10"/>
        <color theme="1"/>
        <rFont val="Arial Narrow"/>
        <charset val="134"/>
      </rPr>
      <t>2021.12.3</t>
    </r>
    <r>
      <rPr>
        <sz val="10"/>
        <color theme="1"/>
        <rFont val="宋体"/>
        <charset val="134"/>
      </rPr>
      <t>，不影响上限</t>
    </r>
  </si>
  <si>
    <r>
      <rPr>
        <sz val="10"/>
        <rFont val="宋体"/>
        <charset val="134"/>
      </rPr>
      <t>天津市兆宏金属制品股份有限公司</t>
    </r>
  </si>
  <si>
    <r>
      <rPr>
        <sz val="10"/>
        <color theme="1"/>
        <rFont val="Arial Narrow"/>
        <charset val="134"/>
      </rPr>
      <t>715</t>
    </r>
    <r>
      <rPr>
        <sz val="10"/>
        <color theme="1"/>
        <rFont val="宋体"/>
        <charset val="134"/>
      </rPr>
      <t>万元</t>
    </r>
  </si>
  <si>
    <r>
      <rPr>
        <sz val="10"/>
        <color theme="1"/>
        <rFont val="宋体"/>
        <charset val="134"/>
      </rPr>
      <t>高新证书</t>
    </r>
    <r>
      <rPr>
        <sz val="10"/>
        <color theme="1"/>
        <rFont val="Arial Narrow"/>
        <charset val="134"/>
      </rPr>
      <t>2019.11.28</t>
    </r>
  </si>
  <si>
    <r>
      <rPr>
        <sz val="10"/>
        <rFont val="宋体"/>
        <charset val="134"/>
      </rPr>
      <t>天津大桥国际贸易有限责任公司</t>
    </r>
  </si>
  <si>
    <r>
      <rPr>
        <sz val="10"/>
        <rFont val="宋体"/>
        <charset val="134"/>
      </rPr>
      <t>阿里巴巴国际站</t>
    </r>
    <r>
      <rPr>
        <sz val="10"/>
        <rFont val="Arial Narrow"/>
        <charset val="134"/>
      </rPr>
      <t>Facebook</t>
    </r>
  </si>
  <si>
    <r>
      <rPr>
        <sz val="10"/>
        <color theme="1"/>
        <rFont val="Arial Narrow"/>
        <charset val="134"/>
      </rPr>
      <t>2670</t>
    </r>
    <r>
      <rPr>
        <sz val="10"/>
        <color theme="1"/>
        <rFont val="宋体"/>
        <charset val="134"/>
      </rPr>
      <t>万元</t>
    </r>
  </si>
  <si>
    <r>
      <rPr>
        <sz val="10"/>
        <color theme="1"/>
        <rFont val="宋体"/>
        <charset val="134"/>
      </rPr>
      <t>无银行开户许可证</t>
    </r>
  </si>
  <si>
    <r>
      <rPr>
        <sz val="10"/>
        <rFont val="宋体"/>
        <charset val="134"/>
      </rPr>
      <t>天津大桥焊材集团有限公司</t>
    </r>
  </si>
  <si>
    <r>
      <rPr>
        <sz val="10"/>
        <color theme="1"/>
        <rFont val="Arial Narrow"/>
        <charset val="134"/>
      </rPr>
      <t>766.2156</t>
    </r>
    <r>
      <rPr>
        <sz val="10"/>
        <color theme="1"/>
        <rFont val="宋体"/>
        <charset val="134"/>
      </rPr>
      <t>万元</t>
    </r>
  </si>
  <si>
    <r>
      <rPr>
        <sz val="10"/>
        <rFont val="宋体"/>
        <charset val="134"/>
      </rPr>
      <t>天津市沐森科技有限公司</t>
    </r>
  </si>
  <si>
    <r>
      <rPr>
        <sz val="10"/>
        <color theme="1"/>
        <rFont val="Arial Narrow"/>
        <charset val="134"/>
      </rPr>
      <t>345</t>
    </r>
    <r>
      <rPr>
        <sz val="10"/>
        <color theme="1"/>
        <rFont val="宋体"/>
        <charset val="134"/>
      </rPr>
      <t>万元</t>
    </r>
  </si>
  <si>
    <r>
      <rPr>
        <sz val="10"/>
        <color theme="1"/>
        <rFont val="宋体"/>
        <charset val="134"/>
      </rPr>
      <t>剔除运费后出口规模掉档</t>
    </r>
  </si>
  <si>
    <t>天津市浩越全五金制品股份有限公司</t>
  </si>
  <si>
    <r>
      <rPr>
        <sz val="10"/>
        <color theme="1"/>
        <rFont val="Arial Narrow"/>
        <charset val="134"/>
      </rPr>
      <t>500</t>
    </r>
    <r>
      <rPr>
        <sz val="10"/>
        <color theme="1"/>
        <rFont val="宋体"/>
        <charset val="134"/>
      </rPr>
      <t>万元</t>
    </r>
  </si>
  <si>
    <r>
      <rPr>
        <sz val="10"/>
        <color theme="1"/>
        <rFont val="宋体"/>
        <charset val="134"/>
      </rPr>
      <t>申报出口规模</t>
    </r>
    <r>
      <rPr>
        <sz val="10"/>
        <color theme="1"/>
        <rFont val="Arial Narrow"/>
        <charset val="134"/>
      </rPr>
      <t>500</t>
    </r>
    <r>
      <rPr>
        <sz val="10"/>
        <color theme="1"/>
        <rFont val="宋体"/>
        <charset val="134"/>
      </rPr>
      <t>万元，报关单合计</t>
    </r>
    <r>
      <rPr>
        <sz val="10"/>
        <color theme="1"/>
        <rFont val="Arial Narrow"/>
        <charset val="134"/>
      </rPr>
      <t>397166.04</t>
    </r>
    <r>
      <rPr>
        <sz val="10"/>
        <color theme="1"/>
        <rFont val="宋体"/>
        <charset val="134"/>
      </rPr>
      <t>美元，电话联系以报关单为准，</t>
    </r>
    <r>
      <rPr>
        <sz val="10"/>
        <color theme="1"/>
        <rFont val="Arial Narrow"/>
        <charset val="134"/>
      </rPr>
      <t>500</t>
    </r>
    <r>
      <rPr>
        <sz val="10"/>
        <color theme="1"/>
        <rFont val="宋体"/>
        <charset val="134"/>
      </rPr>
      <t>万元含非</t>
    </r>
    <r>
      <rPr>
        <sz val="10"/>
        <color theme="1"/>
        <rFont val="Arial Narrow"/>
        <charset val="134"/>
      </rPr>
      <t>9710</t>
    </r>
    <r>
      <rPr>
        <sz val="10"/>
        <color theme="1"/>
        <rFont val="宋体"/>
        <charset val="134"/>
      </rPr>
      <t>代码的</t>
    </r>
  </si>
  <si>
    <r>
      <rPr>
        <sz val="10"/>
        <rFont val="宋体"/>
        <charset val="134"/>
      </rPr>
      <t>天津利安隆新材料股份有限公司</t>
    </r>
  </si>
  <si>
    <r>
      <rPr>
        <sz val="10"/>
        <rFont val="宋体"/>
        <charset val="134"/>
      </rPr>
      <t>阿里巴巴国际站</t>
    </r>
    <r>
      <rPr>
        <sz val="10"/>
        <rFont val="Arial Narrow"/>
        <charset val="134"/>
      </rPr>
      <t xml:space="preserve"> </t>
    </r>
    <r>
      <rPr>
        <sz val="10"/>
        <rFont val="宋体"/>
        <charset val="134"/>
      </rPr>
      <t>公司官网等</t>
    </r>
  </si>
  <si>
    <r>
      <rPr>
        <sz val="10"/>
        <color theme="1"/>
        <rFont val="Arial Narrow"/>
        <charset val="134"/>
      </rPr>
      <t>3243.44</t>
    </r>
    <r>
      <rPr>
        <sz val="10"/>
        <color theme="1"/>
        <rFont val="宋体"/>
        <charset val="134"/>
      </rPr>
      <t>万元</t>
    </r>
  </si>
  <si>
    <r>
      <rPr>
        <sz val="10"/>
        <color theme="1"/>
        <rFont val="宋体"/>
        <charset val="134"/>
      </rPr>
      <t>子公司利安隆供应链管理有限公司费用单据</t>
    </r>
    <r>
      <rPr>
        <sz val="10"/>
        <color theme="1"/>
        <rFont val="Arial Narrow"/>
        <charset val="134"/>
      </rPr>
      <t>146136</t>
    </r>
    <r>
      <rPr>
        <sz val="10"/>
        <color theme="1"/>
        <rFont val="宋体"/>
        <charset val="134"/>
      </rPr>
      <t>元，不予支持；高新证书</t>
    </r>
    <r>
      <rPr>
        <sz val="10"/>
        <color theme="1"/>
        <rFont val="Arial Narrow"/>
        <charset val="134"/>
      </rPr>
      <t>2021.10.9</t>
    </r>
    <r>
      <rPr>
        <sz val="10"/>
        <color theme="1"/>
        <rFont val="宋体"/>
        <charset val="134"/>
      </rPr>
      <t>，有海外商标，不影响上限</t>
    </r>
  </si>
  <si>
    <r>
      <rPr>
        <sz val="10"/>
        <rFont val="宋体"/>
        <charset val="134"/>
      </rPr>
      <t>天津京路发科技发展有限公司</t>
    </r>
  </si>
  <si>
    <r>
      <rPr>
        <sz val="10"/>
        <color theme="1"/>
        <rFont val="Arial Narrow"/>
        <charset val="134"/>
      </rPr>
      <t>10.9</t>
    </r>
    <r>
      <rPr>
        <sz val="10"/>
        <color theme="1"/>
        <rFont val="宋体"/>
        <charset val="134"/>
      </rPr>
      <t>万元</t>
    </r>
  </si>
  <si>
    <r>
      <rPr>
        <sz val="10"/>
        <rFont val="宋体"/>
        <charset val="134"/>
      </rPr>
      <t>天津唯品会供应链管理有限公司</t>
    </r>
  </si>
  <si>
    <r>
      <rPr>
        <sz val="10"/>
        <rFont val="宋体"/>
        <charset val="134"/>
      </rPr>
      <t>唯品会</t>
    </r>
  </si>
  <si>
    <r>
      <rPr>
        <sz val="10"/>
        <color theme="1"/>
        <rFont val="宋体"/>
        <charset val="134"/>
      </rPr>
      <t>自营平台，无平台费用发生</t>
    </r>
  </si>
  <si>
    <r>
      <rPr>
        <sz val="10"/>
        <rFont val="宋体"/>
        <charset val="134"/>
      </rPr>
      <t>天津市诺熠烜进出口贸易有限公司</t>
    </r>
  </si>
  <si>
    <r>
      <rPr>
        <sz val="10"/>
        <color theme="1"/>
        <rFont val="Arial Narrow"/>
        <charset val="134"/>
      </rPr>
      <t>166</t>
    </r>
    <r>
      <rPr>
        <sz val="10"/>
        <color theme="1"/>
        <rFont val="宋体"/>
        <charset val="134"/>
      </rPr>
      <t>万元</t>
    </r>
  </si>
  <si>
    <r>
      <rPr>
        <sz val="10"/>
        <rFont val="宋体"/>
        <charset val="134"/>
      </rPr>
      <t>东丽区</t>
    </r>
  </si>
  <si>
    <r>
      <rPr>
        <sz val="10"/>
        <rFont val="宋体"/>
        <charset val="134"/>
      </rPr>
      <t>天津盛泰国际贸易有限公司</t>
    </r>
  </si>
  <si>
    <r>
      <rPr>
        <sz val="10"/>
        <color theme="1"/>
        <rFont val="Arial Narrow"/>
        <charset val="134"/>
      </rPr>
      <t>1395233</t>
    </r>
    <r>
      <rPr>
        <sz val="10"/>
        <color theme="1"/>
        <rFont val="宋体"/>
        <charset val="134"/>
      </rPr>
      <t>元</t>
    </r>
  </si>
  <si>
    <r>
      <rPr>
        <sz val="10"/>
        <rFont val="宋体"/>
        <charset val="134"/>
      </rPr>
      <t>天津利兴国际贸易有限公司</t>
    </r>
  </si>
  <si>
    <r>
      <rPr>
        <sz val="10"/>
        <color theme="1"/>
        <rFont val="Arial Narrow"/>
        <charset val="134"/>
      </rPr>
      <t>815+1382</t>
    </r>
    <r>
      <rPr>
        <sz val="10"/>
        <color theme="1"/>
        <rFont val="宋体"/>
        <charset val="134"/>
      </rPr>
      <t>万元</t>
    </r>
  </si>
  <si>
    <r>
      <rPr>
        <sz val="10"/>
        <color theme="1"/>
        <rFont val="宋体"/>
        <charset val="134"/>
      </rPr>
      <t>子公司账单</t>
    </r>
  </si>
  <si>
    <r>
      <rPr>
        <sz val="10"/>
        <color theme="1"/>
        <rFont val="宋体"/>
        <charset val="134"/>
      </rPr>
      <t>滨海新区</t>
    </r>
  </si>
  <si>
    <t>天津达飞新材料科技有限公司</t>
  </si>
  <si>
    <r>
      <rPr>
        <sz val="10"/>
        <color theme="1"/>
        <rFont val="Arial Narrow"/>
        <charset val="134"/>
      </rPr>
      <t>382</t>
    </r>
    <r>
      <rPr>
        <sz val="10"/>
        <color theme="1"/>
        <rFont val="宋体"/>
        <charset val="134"/>
      </rPr>
      <t>万元</t>
    </r>
  </si>
  <si>
    <r>
      <rPr>
        <sz val="10"/>
        <color theme="1"/>
        <rFont val="Arial Narrow"/>
        <charset val="134"/>
      </rPr>
      <t>2019</t>
    </r>
    <r>
      <rPr>
        <sz val="10"/>
        <color theme="1"/>
        <rFont val="宋体"/>
        <charset val="134"/>
      </rPr>
      <t>年支付</t>
    </r>
    <r>
      <rPr>
        <sz val="10"/>
        <color theme="1"/>
        <rFont val="Arial Narrow"/>
        <charset val="134"/>
      </rPr>
      <t>119600</t>
    </r>
    <r>
      <rPr>
        <sz val="10"/>
        <color theme="1"/>
        <rFont val="宋体"/>
        <charset val="134"/>
      </rPr>
      <t>元</t>
    </r>
  </si>
  <si>
    <r>
      <rPr>
        <b/>
        <sz val="16"/>
        <color theme="1"/>
        <rFont val="Arial Narrow"/>
        <charset val="134"/>
      </rPr>
      <t>2022</t>
    </r>
    <r>
      <rPr>
        <b/>
        <sz val="16"/>
        <color theme="1"/>
        <rFont val="宋体"/>
        <charset val="134"/>
      </rPr>
      <t>年度企业应用跨境电子商务转型项目</t>
    </r>
    <r>
      <rPr>
        <b/>
        <sz val="16"/>
        <color theme="1"/>
        <rFont val="宋体"/>
        <charset val="134"/>
      </rPr>
      <t>审核明细表</t>
    </r>
  </si>
  <si>
    <t>单位：人民币元</t>
  </si>
  <si>
    <t>所属区域</t>
  </si>
  <si>
    <t>企业名称</t>
  </si>
  <si>
    <r>
      <rPr>
        <b/>
        <sz val="10"/>
        <color theme="1"/>
        <rFont val="宋体"/>
        <charset val="134"/>
      </rPr>
      <t>建议支持</t>
    </r>
    <r>
      <rPr>
        <b/>
        <sz val="10"/>
        <color theme="1"/>
        <rFont val="宋体"/>
        <charset val="134"/>
      </rPr>
      <t>金额</t>
    </r>
  </si>
  <si>
    <r>
      <rPr>
        <b/>
        <sz val="10"/>
        <color theme="1"/>
        <rFont val="宋体"/>
        <charset val="134"/>
      </rPr>
      <t>报关单出口</t>
    </r>
    <r>
      <rPr>
        <b/>
        <sz val="10"/>
        <color theme="1"/>
        <rFont val="Arial Narrow"/>
        <charset val="134"/>
      </rPr>
      <t xml:space="preserve">    </t>
    </r>
    <r>
      <rPr>
        <b/>
        <sz val="10"/>
        <color theme="1"/>
        <rFont val="宋体"/>
        <charset val="134"/>
      </rPr>
      <t>总额</t>
    </r>
  </si>
  <si>
    <r>
      <rPr>
        <sz val="10"/>
        <color theme="1"/>
        <rFont val="Arial Narrow"/>
        <charset val="134"/>
      </rPr>
      <t>3</t>
    </r>
    <r>
      <rPr>
        <sz val="10"/>
        <color theme="1"/>
        <rFont val="宋体"/>
        <charset val="134"/>
      </rPr>
      <t>笔银行水单合计</t>
    </r>
    <r>
      <rPr>
        <sz val="10"/>
        <color theme="1"/>
        <rFont val="Arial Narrow"/>
        <charset val="134"/>
      </rPr>
      <t>450270</t>
    </r>
    <r>
      <rPr>
        <sz val="10"/>
        <color theme="1"/>
        <rFont val="宋体"/>
        <charset val="134"/>
      </rPr>
      <t>元付款方为个人，不予支持</t>
    </r>
  </si>
  <si>
    <t>是</t>
  </si>
  <si>
    <t>天津忠旺铝业有限公司</t>
  </si>
  <si>
    <r>
      <rPr>
        <sz val="10"/>
        <color theme="1"/>
        <rFont val="Arial Narrow"/>
        <charset val="134"/>
      </rPr>
      <t>2018</t>
    </r>
    <r>
      <rPr>
        <sz val="10"/>
        <color theme="1"/>
        <rFont val="宋体"/>
        <charset val="134"/>
      </rPr>
      <t>年</t>
    </r>
    <r>
      <rPr>
        <sz val="10"/>
        <color theme="1"/>
        <rFont val="Arial Narrow"/>
        <charset val="134"/>
      </rPr>
      <t>5</t>
    </r>
    <r>
      <rPr>
        <sz val="10"/>
        <color theme="1"/>
        <rFont val="宋体"/>
        <charset val="134"/>
      </rPr>
      <t>月付</t>
    </r>
    <r>
      <rPr>
        <sz val="10"/>
        <color theme="1"/>
        <rFont val="Arial Narrow"/>
        <charset val="134"/>
      </rPr>
      <t>242000</t>
    </r>
    <r>
      <rPr>
        <sz val="10"/>
        <color theme="1"/>
        <rFont val="宋体"/>
        <charset val="134"/>
      </rPr>
      <t>元，不予支持</t>
    </r>
  </si>
  <si>
    <r>
      <rPr>
        <sz val="10"/>
        <color theme="1"/>
        <rFont val="宋体"/>
        <charset val="134"/>
      </rPr>
      <t>票据不匹配</t>
    </r>
    <r>
      <rPr>
        <sz val="10"/>
        <color theme="1"/>
        <rFont val="Arial Narrow"/>
        <charset val="134"/>
      </rPr>
      <t>29800</t>
    </r>
    <r>
      <rPr>
        <sz val="10"/>
        <color theme="1"/>
        <rFont val="宋体"/>
        <charset val="134"/>
      </rPr>
      <t>元，</t>
    </r>
    <r>
      <rPr>
        <sz val="10"/>
        <color theme="1"/>
        <rFont val="Arial Narrow"/>
        <charset val="134"/>
      </rPr>
      <t>2019</t>
    </r>
    <r>
      <rPr>
        <sz val="10"/>
        <color theme="1"/>
        <rFont val="宋体"/>
        <charset val="134"/>
      </rPr>
      <t>年</t>
    </r>
    <r>
      <rPr>
        <sz val="10"/>
        <color theme="1"/>
        <rFont val="Arial Narrow"/>
        <charset val="134"/>
      </rPr>
      <t>6</t>
    </r>
    <r>
      <rPr>
        <sz val="10"/>
        <color theme="1"/>
        <rFont val="宋体"/>
        <charset val="134"/>
      </rPr>
      <t>月付</t>
    </r>
    <r>
      <rPr>
        <sz val="10"/>
        <color theme="1"/>
        <rFont val="Arial Narrow"/>
        <charset val="134"/>
      </rPr>
      <t>65800</t>
    </r>
    <r>
      <rPr>
        <sz val="10"/>
        <color theme="1"/>
        <rFont val="宋体"/>
        <charset val="134"/>
      </rPr>
      <t>元，非本单位票据</t>
    </r>
    <r>
      <rPr>
        <sz val="10"/>
        <color theme="1"/>
        <rFont val="Arial Narrow"/>
        <charset val="134"/>
      </rPr>
      <t>52000</t>
    </r>
    <r>
      <rPr>
        <sz val="10"/>
        <color theme="1"/>
        <rFont val="宋体"/>
        <charset val="134"/>
      </rPr>
      <t>元，合计</t>
    </r>
    <r>
      <rPr>
        <sz val="10"/>
        <color theme="1"/>
        <rFont val="Arial Narrow"/>
        <charset val="134"/>
      </rPr>
      <t>147600</t>
    </r>
    <r>
      <rPr>
        <sz val="10"/>
        <color theme="1"/>
        <rFont val="宋体"/>
        <charset val="134"/>
      </rPr>
      <t>元不予支持</t>
    </r>
  </si>
  <si>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52152.12</t>
    </r>
    <r>
      <rPr>
        <sz val="10"/>
        <color theme="1"/>
        <rFont val="宋体"/>
        <charset val="134"/>
      </rPr>
      <t>，不予支持</t>
    </r>
  </si>
  <si>
    <r>
      <rPr>
        <sz val="10"/>
        <rFont val="宋体"/>
        <charset val="134"/>
      </rPr>
      <t>天津世通力为办公家具贸易有限公司</t>
    </r>
  </si>
  <si>
    <t>天津鑫晟供应链管理有限公司</t>
  </si>
  <si>
    <r>
      <rPr>
        <sz val="10"/>
        <color theme="1"/>
        <rFont val="Arial Narrow"/>
        <charset val="134"/>
      </rPr>
      <t>2021</t>
    </r>
    <r>
      <rPr>
        <sz val="10"/>
        <color theme="1"/>
        <rFont val="宋体"/>
        <charset val="134"/>
      </rPr>
      <t>年</t>
    </r>
    <r>
      <rPr>
        <sz val="10"/>
        <color theme="1"/>
        <rFont val="Arial Narrow"/>
        <charset val="134"/>
      </rPr>
      <t>8</t>
    </r>
    <r>
      <rPr>
        <sz val="10"/>
        <color theme="1"/>
        <rFont val="宋体"/>
        <charset val="134"/>
      </rPr>
      <t>月付</t>
    </r>
    <r>
      <rPr>
        <sz val="10"/>
        <color theme="1"/>
        <rFont val="Arial Narrow"/>
        <charset val="134"/>
      </rPr>
      <t>17156</t>
    </r>
    <r>
      <rPr>
        <sz val="10"/>
        <color theme="1"/>
        <rFont val="宋体"/>
        <charset val="134"/>
      </rPr>
      <t>元，下期再报；其他性质费用</t>
    </r>
    <r>
      <rPr>
        <sz val="10"/>
        <color theme="1"/>
        <rFont val="Arial Narrow"/>
        <charset val="134"/>
      </rPr>
      <t>39472.92</t>
    </r>
    <r>
      <rPr>
        <sz val="10"/>
        <color theme="1"/>
        <rFont val="宋体"/>
        <charset val="134"/>
      </rPr>
      <t>元，</t>
    </r>
    <r>
      <rPr>
        <sz val="10"/>
        <color theme="1"/>
        <rFont val="Arial Narrow"/>
        <charset val="134"/>
      </rPr>
      <t>580</t>
    </r>
    <r>
      <rPr>
        <sz val="10"/>
        <color theme="1"/>
        <rFont val="宋体"/>
        <charset val="134"/>
      </rPr>
      <t>元缺水单，合计</t>
    </r>
    <r>
      <rPr>
        <sz val="10"/>
        <color theme="1"/>
        <rFont val="Arial Narrow"/>
        <charset val="134"/>
      </rPr>
      <t>40092.52</t>
    </r>
    <r>
      <rPr>
        <sz val="10"/>
        <color theme="1"/>
        <rFont val="宋体"/>
        <charset val="134"/>
      </rPr>
      <t>元不予支持</t>
    </r>
  </si>
  <si>
    <t>天津凯杰国际贸易有限公司</t>
  </si>
  <si>
    <r>
      <rPr>
        <sz val="10"/>
        <color theme="1"/>
        <rFont val="宋体"/>
        <charset val="134"/>
      </rPr>
      <t>报关单出口日期在</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月以后，下期再报</t>
    </r>
  </si>
  <si>
    <t>天津商泽外贸综合服务有限公司</t>
  </si>
  <si>
    <r>
      <rPr>
        <sz val="10"/>
        <color theme="1"/>
        <rFont val="Arial Narrow"/>
        <charset val="134"/>
      </rPr>
      <t>2019</t>
    </r>
    <r>
      <rPr>
        <sz val="10"/>
        <color theme="1"/>
        <rFont val="宋体"/>
        <charset val="134"/>
      </rPr>
      <t>年</t>
    </r>
    <r>
      <rPr>
        <sz val="10"/>
        <color theme="1"/>
        <rFont val="Arial Narrow"/>
        <charset val="134"/>
      </rPr>
      <t>11</t>
    </r>
    <r>
      <rPr>
        <sz val="10"/>
        <color theme="1"/>
        <rFont val="宋体"/>
        <charset val="134"/>
      </rPr>
      <t>月付</t>
    </r>
    <r>
      <rPr>
        <sz val="10"/>
        <color theme="1"/>
        <rFont val="Arial Narrow"/>
        <charset val="134"/>
      </rPr>
      <t>69600</t>
    </r>
    <r>
      <rPr>
        <sz val="10"/>
        <color theme="1"/>
        <rFont val="宋体"/>
        <charset val="134"/>
      </rPr>
      <t>元，不予支持</t>
    </r>
  </si>
  <si>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2000</t>
    </r>
    <r>
      <rPr>
        <sz val="10"/>
        <color theme="1"/>
        <rFont val="宋体"/>
        <charset val="134"/>
      </rPr>
      <t>元，不予支持；</t>
    </r>
    <r>
      <rPr>
        <sz val="10"/>
        <color theme="1"/>
        <rFont val="Arial Narrow"/>
        <charset val="134"/>
      </rPr>
      <t>2021</t>
    </r>
    <r>
      <rPr>
        <sz val="10"/>
        <color theme="1"/>
        <rFont val="宋体"/>
        <charset val="134"/>
      </rPr>
      <t>年</t>
    </r>
    <r>
      <rPr>
        <sz val="10"/>
        <color theme="1"/>
        <rFont val="Arial Narrow"/>
        <charset val="134"/>
      </rPr>
      <t>11</t>
    </r>
    <r>
      <rPr>
        <sz val="10"/>
        <color theme="1"/>
        <rFont val="宋体"/>
        <charset val="134"/>
      </rPr>
      <t>月付</t>
    </r>
    <r>
      <rPr>
        <sz val="10"/>
        <color theme="1"/>
        <rFont val="Arial Narrow"/>
        <charset val="134"/>
      </rPr>
      <t>2000</t>
    </r>
    <r>
      <rPr>
        <sz val="10"/>
        <color theme="1"/>
        <rFont val="宋体"/>
        <charset val="134"/>
      </rPr>
      <t>元，下期再报</t>
    </r>
  </si>
  <si>
    <r>
      <rPr>
        <sz val="10"/>
        <color theme="1"/>
        <rFont val="宋体"/>
        <charset val="134"/>
      </rPr>
      <t>公司系统维护费用</t>
    </r>
    <r>
      <rPr>
        <sz val="10"/>
        <color theme="1"/>
        <rFont val="Arial Narrow"/>
        <charset val="134"/>
      </rPr>
      <t>51200</t>
    </r>
    <r>
      <rPr>
        <sz val="10"/>
        <color theme="1"/>
        <rFont val="宋体"/>
        <charset val="134"/>
      </rPr>
      <t>元，不予支持</t>
    </r>
  </si>
  <si>
    <t>申报出口规模多写个“万”字</t>
  </si>
  <si>
    <t>天津中物网络科技股份公司</t>
  </si>
  <si>
    <r>
      <rPr>
        <sz val="10"/>
        <rFont val="宋体"/>
        <charset val="134"/>
      </rPr>
      <t>天津市安赛乐米塔尔钢铁贸易有限公司</t>
    </r>
  </si>
  <si>
    <t>天津恒华管道技术有限公司</t>
  </si>
  <si>
    <t>天津铠达科技有限公司</t>
  </si>
  <si>
    <r>
      <rPr>
        <sz val="10"/>
        <color theme="1"/>
        <rFont val="宋体"/>
        <charset val="134"/>
      </rPr>
      <t>报关单出口日期</t>
    </r>
    <r>
      <rPr>
        <sz val="10"/>
        <color theme="1"/>
        <rFont val="Arial Narrow"/>
        <charset val="134"/>
      </rPr>
      <t>2021</t>
    </r>
    <r>
      <rPr>
        <sz val="10"/>
        <color theme="1"/>
        <rFont val="宋体"/>
        <charset val="134"/>
      </rPr>
      <t>年</t>
    </r>
    <r>
      <rPr>
        <sz val="10"/>
        <color theme="1"/>
        <rFont val="Arial Narrow"/>
        <charset val="134"/>
      </rPr>
      <t>7</t>
    </r>
    <r>
      <rPr>
        <sz val="10"/>
        <color theme="1"/>
        <rFont val="宋体"/>
        <charset val="134"/>
      </rPr>
      <t>月以后，下期再报</t>
    </r>
  </si>
  <si>
    <t>天津维莱福进出口贸易有限公司</t>
  </si>
  <si>
    <r>
      <rPr>
        <sz val="10"/>
        <color theme="1"/>
        <rFont val="宋体"/>
        <charset val="134"/>
      </rPr>
      <t>无银行水单，放弃补贴</t>
    </r>
  </si>
  <si>
    <t>天津莱泽源环保科技有限公司</t>
  </si>
  <si>
    <r>
      <rPr>
        <sz val="10"/>
        <color theme="1"/>
        <rFont val="Arial Narrow"/>
        <charset val="134"/>
      </rPr>
      <t>2019</t>
    </r>
    <r>
      <rPr>
        <sz val="10"/>
        <color theme="1"/>
        <rFont val="宋体"/>
        <charset val="134"/>
      </rPr>
      <t>年</t>
    </r>
    <r>
      <rPr>
        <sz val="10"/>
        <color theme="1"/>
        <rFont val="Arial Narrow"/>
        <charset val="134"/>
      </rPr>
      <t>8</t>
    </r>
    <r>
      <rPr>
        <sz val="10"/>
        <color theme="1"/>
        <rFont val="宋体"/>
        <charset val="134"/>
      </rPr>
      <t>月付</t>
    </r>
    <r>
      <rPr>
        <sz val="10"/>
        <color theme="1"/>
        <rFont val="Arial Narrow"/>
        <charset val="134"/>
      </rPr>
      <t>59600</t>
    </r>
    <r>
      <rPr>
        <sz val="10"/>
        <color theme="1"/>
        <rFont val="宋体"/>
        <charset val="134"/>
      </rPr>
      <t>元，不予支持</t>
    </r>
  </si>
  <si>
    <t>天津中健国康纳米科技股份有限公司</t>
  </si>
  <si>
    <r>
      <rPr>
        <sz val="10"/>
        <color theme="1"/>
        <rFont val="宋体"/>
        <charset val="134"/>
      </rPr>
      <t>报关单代码</t>
    </r>
    <r>
      <rPr>
        <sz val="10"/>
        <color theme="1"/>
        <rFont val="Arial Narrow"/>
        <charset val="134"/>
      </rPr>
      <t>0110</t>
    </r>
    <r>
      <rPr>
        <sz val="10"/>
        <color theme="1"/>
        <rFont val="宋体"/>
        <charset val="134"/>
      </rPr>
      <t>，不予支持</t>
    </r>
  </si>
  <si>
    <t>天津百益尔康科技发展有限公司</t>
  </si>
  <si>
    <r>
      <rPr>
        <sz val="10"/>
        <rFont val="宋体"/>
        <charset val="134"/>
      </rPr>
      <t>天津市浩越全五金制品股份有限公司</t>
    </r>
  </si>
  <si>
    <r>
      <rPr>
        <sz val="10"/>
        <color theme="1"/>
        <rFont val="Arial Narrow"/>
        <charset val="134"/>
      </rPr>
      <t>2021</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3200</t>
    </r>
    <r>
      <rPr>
        <sz val="10"/>
        <color theme="1"/>
        <rFont val="宋体"/>
        <charset val="134"/>
      </rPr>
      <t>元下期再报；</t>
    </r>
    <r>
      <rPr>
        <sz val="10"/>
        <color theme="1"/>
        <rFont val="Arial Narrow"/>
        <charset val="134"/>
      </rPr>
      <t>3000</t>
    </r>
    <r>
      <rPr>
        <sz val="10"/>
        <color theme="1"/>
        <rFont val="宋体"/>
        <charset val="134"/>
      </rPr>
      <t>元无银行付款记录，子公司利安隆供应链管理有限公司费用单据</t>
    </r>
    <r>
      <rPr>
        <sz val="10"/>
        <color theme="1"/>
        <rFont val="Arial Narrow"/>
        <charset val="134"/>
      </rPr>
      <t>146136</t>
    </r>
    <r>
      <rPr>
        <sz val="10"/>
        <color theme="1"/>
        <rFont val="宋体"/>
        <charset val="134"/>
      </rPr>
      <t>元，不予支持</t>
    </r>
  </si>
  <si>
    <t>天津唯品会供应链管理有限公司</t>
  </si>
  <si>
    <t>天津利兴国际贸易有限公司</t>
  </si>
  <si>
    <t>非本公司费用单据，不予支持</t>
  </si>
  <si>
    <r>
      <rPr>
        <sz val="10"/>
        <color theme="1"/>
        <rFont val="宋体"/>
        <charset val="134"/>
      </rPr>
      <t>天津达飞新材料科技有限公司</t>
    </r>
  </si>
  <si>
    <r>
      <rPr>
        <sz val="10"/>
        <color theme="1"/>
        <rFont val="Arial Narrow"/>
        <charset val="134"/>
      </rPr>
      <t>2019</t>
    </r>
    <r>
      <rPr>
        <sz val="10"/>
        <color theme="1"/>
        <rFont val="宋体"/>
        <charset val="134"/>
      </rPr>
      <t>年</t>
    </r>
    <r>
      <rPr>
        <sz val="10"/>
        <color theme="1"/>
        <rFont val="Arial Narrow"/>
        <charset val="134"/>
      </rPr>
      <t>12</t>
    </r>
    <r>
      <rPr>
        <sz val="10"/>
        <color theme="1"/>
        <rFont val="宋体"/>
        <charset val="134"/>
      </rPr>
      <t>月付</t>
    </r>
    <r>
      <rPr>
        <sz val="10"/>
        <color theme="1"/>
        <rFont val="Arial Narrow"/>
        <charset val="134"/>
      </rPr>
      <t>119600</t>
    </r>
    <r>
      <rPr>
        <sz val="10"/>
        <color theme="1"/>
        <rFont val="宋体"/>
        <charset val="134"/>
      </rPr>
      <t>元，</t>
    </r>
    <r>
      <rPr>
        <sz val="10"/>
        <color theme="1"/>
        <rFont val="Arial Narrow"/>
        <charset val="134"/>
      </rPr>
      <t>1980</t>
    </r>
    <r>
      <rPr>
        <sz val="10"/>
        <color theme="1"/>
        <rFont val="宋体"/>
        <charset val="134"/>
      </rPr>
      <t>元报名费，不予支持</t>
    </r>
  </si>
  <si>
    <r>
      <rPr>
        <sz val="10"/>
        <color theme="1"/>
        <rFont val="宋体"/>
        <charset val="134"/>
      </rPr>
      <t>序号</t>
    </r>
  </si>
  <si>
    <r>
      <rPr>
        <sz val="10"/>
        <color theme="1"/>
        <rFont val="宋体"/>
        <charset val="134"/>
      </rPr>
      <t>费用内容</t>
    </r>
  </si>
  <si>
    <r>
      <rPr>
        <sz val="10"/>
        <color theme="1"/>
        <rFont val="宋体"/>
        <charset val="134"/>
      </rPr>
      <t>合同</t>
    </r>
  </si>
  <si>
    <r>
      <rPr>
        <sz val="10"/>
        <color theme="1"/>
        <rFont val="宋体"/>
        <charset val="134"/>
      </rPr>
      <t>水单</t>
    </r>
  </si>
  <si>
    <r>
      <rPr>
        <sz val="10"/>
        <color theme="1"/>
        <rFont val="宋体"/>
        <charset val="134"/>
      </rPr>
      <t>发票</t>
    </r>
  </si>
  <si>
    <r>
      <rPr>
        <sz val="10"/>
        <color theme="1"/>
        <rFont val="宋体"/>
        <charset val="134"/>
      </rPr>
      <t>日期</t>
    </r>
  </si>
  <si>
    <r>
      <rPr>
        <sz val="10"/>
        <color theme="1"/>
        <rFont val="宋体"/>
        <charset val="134"/>
      </rPr>
      <t>金额</t>
    </r>
  </si>
  <si>
    <r>
      <rPr>
        <sz val="10"/>
        <color theme="1"/>
        <rFont val="宋体"/>
        <charset val="134"/>
      </rPr>
      <t>顶级展位费</t>
    </r>
  </si>
  <si>
    <r>
      <rPr>
        <sz val="10"/>
        <color theme="1"/>
        <rFont val="Arial Narrow"/>
        <charset val="134"/>
      </rPr>
      <t>2021.4.14</t>
    </r>
    <r>
      <rPr>
        <sz val="10"/>
        <color theme="1"/>
        <rFont val="宋体"/>
        <charset val="134"/>
      </rPr>
      <t>，</t>
    </r>
    <r>
      <rPr>
        <sz val="10"/>
        <color theme="1"/>
        <rFont val="Arial Narrow"/>
        <charset val="134"/>
      </rPr>
      <t>12</t>
    </r>
    <r>
      <rPr>
        <sz val="10"/>
        <color theme="1"/>
        <rFont val="宋体"/>
        <charset val="134"/>
      </rPr>
      <t>个月</t>
    </r>
  </si>
  <si>
    <t>2021.4.14</t>
  </si>
  <si>
    <t>2021.5.12</t>
  </si>
  <si>
    <t>2021.4.8</t>
  </si>
  <si>
    <r>
      <rPr>
        <sz val="10"/>
        <color theme="1"/>
        <rFont val="宋体"/>
        <charset val="134"/>
      </rPr>
      <t>全球搜服务费</t>
    </r>
  </si>
  <si>
    <r>
      <rPr>
        <sz val="10"/>
        <color theme="1"/>
        <rFont val="Arial Narrow"/>
        <charset val="134"/>
      </rPr>
      <t>2021.1.13</t>
    </r>
    <r>
      <rPr>
        <sz val="10"/>
        <color theme="1"/>
        <rFont val="宋体"/>
        <charset val="134"/>
      </rPr>
      <t>，</t>
    </r>
    <r>
      <rPr>
        <sz val="10"/>
        <color theme="1"/>
        <rFont val="Arial Narrow"/>
        <charset val="134"/>
      </rPr>
      <t>545</t>
    </r>
    <r>
      <rPr>
        <sz val="10"/>
        <color theme="1"/>
        <rFont val="宋体"/>
        <charset val="134"/>
      </rPr>
      <t>天</t>
    </r>
  </si>
  <si>
    <t>2021.1.14</t>
  </si>
  <si>
    <t>2021.1.21</t>
  </si>
  <si>
    <t>出口通服务费</t>
  </si>
  <si>
    <r>
      <rPr>
        <sz val="10"/>
        <color theme="1"/>
        <rFont val="Arial Narrow"/>
        <charset val="134"/>
      </rPr>
      <t>2020.6.9</t>
    </r>
    <r>
      <rPr>
        <sz val="10"/>
        <color theme="1"/>
        <rFont val="宋体"/>
        <charset val="134"/>
      </rPr>
      <t>，</t>
    </r>
    <r>
      <rPr>
        <sz val="10"/>
        <color theme="1"/>
        <rFont val="Arial Narrow"/>
        <charset val="134"/>
      </rPr>
      <t>24</t>
    </r>
    <r>
      <rPr>
        <sz val="10"/>
        <color theme="1"/>
        <rFont val="宋体"/>
        <charset val="134"/>
      </rPr>
      <t>个月</t>
    </r>
  </si>
  <si>
    <t>2020.3.5</t>
  </si>
  <si>
    <t>2020.6..16</t>
  </si>
  <si>
    <t>2021.4.9</t>
  </si>
  <si>
    <t>2020.6.9</t>
  </si>
  <si>
    <t>2021.4.10</t>
  </si>
  <si>
    <r>
      <rPr>
        <sz val="10"/>
        <color theme="1"/>
        <rFont val="Arial Narrow"/>
        <charset val="134"/>
      </rPr>
      <t>worldsou</t>
    </r>
    <r>
      <rPr>
        <sz val="10"/>
        <color theme="1"/>
        <rFont val="宋体"/>
        <charset val="134"/>
      </rPr>
      <t>海外推广费</t>
    </r>
  </si>
  <si>
    <r>
      <rPr>
        <sz val="10"/>
        <color theme="1"/>
        <rFont val="Arial Narrow"/>
        <charset val="134"/>
      </rPr>
      <t>2020.6.16</t>
    </r>
    <r>
      <rPr>
        <sz val="10"/>
        <color theme="1"/>
        <rFont val="宋体"/>
        <charset val="134"/>
      </rPr>
      <t>，</t>
    </r>
    <r>
      <rPr>
        <sz val="10"/>
        <color theme="1"/>
        <rFont val="Arial Narrow"/>
        <charset val="134"/>
      </rPr>
      <t>12</t>
    </r>
    <r>
      <rPr>
        <sz val="10"/>
        <color theme="1"/>
        <rFont val="宋体"/>
        <charset val="134"/>
      </rPr>
      <t>个月</t>
    </r>
  </si>
  <si>
    <t>2020.6.15</t>
  </si>
  <si>
    <t>2020.7.2</t>
  </si>
  <si>
    <t>2021.4.11</t>
  </si>
  <si>
    <t>2020.1.1-2021.12.31</t>
  </si>
  <si>
    <t>2019.12.3</t>
  </si>
  <si>
    <t>2020.3.19</t>
  </si>
  <si>
    <r>
      <rPr>
        <sz val="10"/>
        <color theme="1"/>
        <rFont val="Arial Narrow"/>
        <charset val="134"/>
      </rPr>
      <t>2019.12.2</t>
    </r>
    <r>
      <rPr>
        <sz val="10"/>
        <color theme="1"/>
        <rFont val="宋体"/>
        <charset val="134"/>
      </rPr>
      <t>日签订合同</t>
    </r>
  </si>
  <si>
    <t>2021.4.12</t>
  </si>
  <si>
    <t>2020.3.1-2022.2.28</t>
  </si>
  <si>
    <t>2019.12.11</t>
  </si>
  <si>
    <t>2021.4.13</t>
  </si>
  <si>
    <r>
      <rPr>
        <sz val="10"/>
        <color theme="1"/>
        <rFont val="Arial Narrow"/>
        <charset val="134"/>
      </rPr>
      <t>2019.12.9</t>
    </r>
    <r>
      <rPr>
        <sz val="10"/>
        <color theme="1"/>
        <rFont val="宋体"/>
        <charset val="134"/>
      </rPr>
      <t>，</t>
    </r>
    <r>
      <rPr>
        <sz val="10"/>
        <color theme="1"/>
        <rFont val="Arial Narrow"/>
        <charset val="134"/>
      </rPr>
      <t>24</t>
    </r>
    <r>
      <rPr>
        <sz val="10"/>
        <color theme="1"/>
        <rFont val="宋体"/>
        <charset val="134"/>
      </rPr>
      <t>个月</t>
    </r>
  </si>
  <si>
    <t>2019.12.17</t>
  </si>
  <si>
    <t>2019.12.9</t>
  </si>
  <si>
    <r>
      <rPr>
        <sz val="10"/>
        <color theme="1"/>
        <rFont val="宋体"/>
        <charset val="134"/>
      </rPr>
      <t>全球宝等服务费</t>
    </r>
  </si>
  <si>
    <r>
      <rPr>
        <sz val="10"/>
        <color theme="1"/>
        <rFont val="宋体"/>
        <charset val="134"/>
      </rPr>
      <t>不是同一笔费用，合同编号、发票、银行账号不一样</t>
    </r>
  </si>
  <si>
    <t>2021.4.15</t>
  </si>
  <si>
    <t>2021.4.16</t>
  </si>
  <si>
    <r>
      <rPr>
        <sz val="10"/>
        <color theme="1"/>
        <rFont val="宋体"/>
        <charset val="134"/>
      </rPr>
      <t>品牌专区问鼎费</t>
    </r>
  </si>
  <si>
    <r>
      <rPr>
        <sz val="10"/>
        <color theme="1"/>
        <rFont val="Arial Narrow"/>
        <charset val="134"/>
      </rPr>
      <t>2020.7.9</t>
    </r>
    <r>
      <rPr>
        <sz val="10"/>
        <color theme="1"/>
        <rFont val="宋体"/>
        <charset val="134"/>
      </rPr>
      <t>，</t>
    </r>
    <r>
      <rPr>
        <sz val="10"/>
        <color theme="1"/>
        <rFont val="Arial Narrow"/>
        <charset val="134"/>
      </rPr>
      <t>12</t>
    </r>
    <r>
      <rPr>
        <sz val="10"/>
        <color theme="1"/>
        <rFont val="宋体"/>
        <charset val="134"/>
      </rPr>
      <t>个月</t>
    </r>
  </si>
  <si>
    <t>2020.7.15</t>
  </si>
  <si>
    <t>2020.8.25</t>
  </si>
  <si>
    <t>2021.4.17</t>
  </si>
  <si>
    <r>
      <rPr>
        <sz val="10"/>
        <color theme="1"/>
        <rFont val="Arial Narrow"/>
        <charset val="134"/>
      </rPr>
      <t>2020.11.11</t>
    </r>
    <r>
      <rPr>
        <sz val="10"/>
        <color theme="1"/>
        <rFont val="宋体"/>
        <charset val="134"/>
      </rPr>
      <t>，</t>
    </r>
    <r>
      <rPr>
        <sz val="10"/>
        <color theme="1"/>
        <rFont val="Arial Narrow"/>
        <charset val="134"/>
      </rPr>
      <t>12</t>
    </r>
    <r>
      <rPr>
        <sz val="10"/>
        <color theme="1"/>
        <rFont val="宋体"/>
        <charset val="134"/>
      </rPr>
      <t>个月</t>
    </r>
  </si>
  <si>
    <t>2020.11.5</t>
  </si>
  <si>
    <t>2020.11.27</t>
  </si>
  <si>
    <t>2020.11.11</t>
  </si>
  <si>
    <t>2021.4.18</t>
  </si>
  <si>
    <r>
      <rPr>
        <sz val="10"/>
        <color theme="1"/>
        <rFont val="Arial Narrow"/>
        <charset val="134"/>
      </rPr>
      <t>2020.9.10</t>
    </r>
    <r>
      <rPr>
        <sz val="10"/>
        <color theme="1"/>
        <rFont val="宋体"/>
        <charset val="134"/>
      </rPr>
      <t>，</t>
    </r>
    <r>
      <rPr>
        <sz val="10"/>
        <color theme="1"/>
        <rFont val="Arial Narrow"/>
        <charset val="134"/>
      </rPr>
      <t>12</t>
    </r>
    <r>
      <rPr>
        <sz val="10"/>
        <color theme="1"/>
        <rFont val="宋体"/>
        <charset val="134"/>
      </rPr>
      <t>个月</t>
    </r>
  </si>
  <si>
    <t>2020.9.11</t>
  </si>
  <si>
    <t>2020.11.4</t>
  </si>
  <si>
    <t>2021.4.19</t>
  </si>
  <si>
    <r>
      <rPr>
        <sz val="10"/>
        <color theme="1"/>
        <rFont val="Arial Narrow"/>
        <charset val="134"/>
      </rPr>
      <t>2020.12.29</t>
    </r>
    <r>
      <rPr>
        <sz val="10"/>
        <color theme="1"/>
        <rFont val="宋体"/>
        <charset val="134"/>
      </rPr>
      <t>，</t>
    </r>
    <r>
      <rPr>
        <sz val="10"/>
        <color theme="1"/>
        <rFont val="Arial Narrow"/>
        <charset val="134"/>
      </rPr>
      <t>24</t>
    </r>
    <r>
      <rPr>
        <sz val="10"/>
        <color theme="1"/>
        <rFont val="宋体"/>
        <charset val="134"/>
      </rPr>
      <t>个月</t>
    </r>
  </si>
  <si>
    <t>2020.12.29</t>
  </si>
  <si>
    <t>2021.1.5</t>
  </si>
  <si>
    <r>
      <rPr>
        <sz val="10"/>
        <color theme="1"/>
        <rFont val="宋体"/>
        <charset val="134"/>
      </rPr>
      <t>水单付款单位为个人</t>
    </r>
    <r>
      <rPr>
        <sz val="10"/>
        <color theme="1"/>
        <rFont val="Arial Narrow"/>
        <charset val="134"/>
      </rPr>
      <t>(</t>
    </r>
    <r>
      <rPr>
        <sz val="10"/>
        <color theme="1"/>
        <rFont val="宋体"/>
        <charset val="134"/>
      </rPr>
      <t>张海涛），不予支持</t>
    </r>
  </si>
  <si>
    <t>2021.4.20</t>
  </si>
  <si>
    <r>
      <rPr>
        <sz val="10"/>
        <color theme="1"/>
        <rFont val="宋体"/>
        <charset val="134"/>
      </rPr>
      <t>购管理软件费（阿里巴巴）</t>
    </r>
  </si>
  <si>
    <t>2021.4.21</t>
  </si>
  <si>
    <r>
      <rPr>
        <sz val="10"/>
        <color theme="1"/>
        <rFont val="Arial Narrow"/>
        <charset val="134"/>
      </rPr>
      <t>2020.9.24</t>
    </r>
    <r>
      <rPr>
        <sz val="10"/>
        <color theme="1"/>
        <rFont val="宋体"/>
        <charset val="134"/>
      </rPr>
      <t>，</t>
    </r>
    <r>
      <rPr>
        <sz val="10"/>
        <color theme="1"/>
        <rFont val="Arial Narrow"/>
        <charset val="134"/>
      </rPr>
      <t>12</t>
    </r>
    <r>
      <rPr>
        <sz val="10"/>
        <color theme="1"/>
        <rFont val="宋体"/>
        <charset val="134"/>
      </rPr>
      <t>个月</t>
    </r>
  </si>
  <si>
    <t>2020.9.24</t>
  </si>
  <si>
    <t>2020.12.2</t>
  </si>
  <si>
    <r>
      <rPr>
        <sz val="10"/>
        <color theme="1"/>
        <rFont val="宋体"/>
        <charset val="134"/>
      </rPr>
      <t>水单付款单位为个人</t>
    </r>
    <r>
      <rPr>
        <sz val="10"/>
        <color theme="1"/>
        <rFont val="Arial Narrow"/>
        <charset val="134"/>
      </rPr>
      <t>(</t>
    </r>
    <r>
      <rPr>
        <sz val="10"/>
        <color theme="1"/>
        <rFont val="宋体"/>
        <charset val="134"/>
      </rPr>
      <t>张海涛），发票内容（出口通），不予支持</t>
    </r>
  </si>
  <si>
    <r>
      <rPr>
        <sz val="10"/>
        <color theme="1"/>
        <rFont val="宋体"/>
        <charset val="134"/>
      </rPr>
      <t>外贸直通车预充值</t>
    </r>
  </si>
  <si>
    <t>2021.6.8</t>
  </si>
  <si>
    <t>2021.6.9</t>
  </si>
  <si>
    <t>2020.4.3</t>
  </si>
  <si>
    <t>2021.4.22</t>
  </si>
  <si>
    <t>2020.11.12</t>
  </si>
  <si>
    <t>2021.4.23</t>
  </si>
  <si>
    <t>2020.6.11</t>
  </si>
  <si>
    <t>2021.4.24</t>
  </si>
  <si>
    <t>2021.4.25</t>
  </si>
  <si>
    <t>2020.4.8</t>
  </si>
  <si>
    <t>2021.4.26</t>
  </si>
  <si>
    <t>2021.4.27</t>
  </si>
  <si>
    <t>2020.5.12</t>
  </si>
  <si>
    <t>2021.4.28</t>
  </si>
  <si>
    <t>2020.12.11</t>
  </si>
  <si>
    <t>2021.4.29</t>
  </si>
  <si>
    <t>2021.4.30</t>
  </si>
  <si>
    <t>2021.1.25</t>
  </si>
  <si>
    <t>2021.5.1</t>
  </si>
  <si>
    <t>2021.5.2</t>
  </si>
  <si>
    <r>
      <rPr>
        <sz val="10"/>
        <color theme="1"/>
        <rFont val="Arial Narrow"/>
        <charset val="134"/>
      </rPr>
      <t>2020.6.3</t>
    </r>
    <r>
      <rPr>
        <sz val="10"/>
        <color theme="1"/>
        <rFont val="宋体"/>
        <charset val="134"/>
      </rPr>
      <t>，</t>
    </r>
    <r>
      <rPr>
        <sz val="10"/>
        <color theme="1"/>
        <rFont val="Arial Narrow"/>
        <charset val="134"/>
      </rPr>
      <t>12</t>
    </r>
    <r>
      <rPr>
        <sz val="10"/>
        <color theme="1"/>
        <rFont val="宋体"/>
        <charset val="134"/>
      </rPr>
      <t>个月</t>
    </r>
  </si>
  <si>
    <t>2020.8.21</t>
  </si>
  <si>
    <t>2020.8.31</t>
  </si>
  <si>
    <t>2021.5.3</t>
  </si>
  <si>
    <t>2021.5.4</t>
  </si>
  <si>
    <r>
      <rPr>
        <sz val="10"/>
        <color theme="1"/>
        <rFont val="宋体"/>
        <charset val="134"/>
      </rPr>
      <t>网易邮箱费</t>
    </r>
  </si>
  <si>
    <r>
      <rPr>
        <sz val="10"/>
        <color theme="1"/>
        <rFont val="Arial Narrow"/>
        <charset val="134"/>
      </rPr>
      <t>2021.4.6</t>
    </r>
    <r>
      <rPr>
        <sz val="10"/>
        <color theme="1"/>
        <rFont val="宋体"/>
        <charset val="134"/>
      </rPr>
      <t>，</t>
    </r>
    <r>
      <rPr>
        <sz val="10"/>
        <color theme="1"/>
        <rFont val="Arial Narrow"/>
        <charset val="134"/>
      </rPr>
      <t>6</t>
    </r>
    <r>
      <rPr>
        <sz val="10"/>
        <color theme="1"/>
        <rFont val="宋体"/>
        <charset val="134"/>
      </rPr>
      <t>年</t>
    </r>
  </si>
  <si>
    <t>不予支持</t>
  </si>
  <si>
    <r>
      <rPr>
        <sz val="10"/>
        <color theme="1"/>
        <rFont val="Arial Narrow"/>
        <charset val="134"/>
      </rPr>
      <t>2019.6.14</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</si>
  <si>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无水单无发票，不予支持</t>
    </r>
  </si>
  <si>
    <t>2021.5.5</t>
  </si>
  <si>
    <t>2020.2.1-2021.1.31</t>
  </si>
  <si>
    <r>
      <rPr>
        <sz val="10"/>
        <color theme="1"/>
        <rFont val="Arial Narrow"/>
        <charset val="134"/>
      </rPr>
      <t>2019.12.12</t>
    </r>
    <r>
      <rPr>
        <sz val="10"/>
        <color theme="1"/>
        <rFont val="宋体"/>
        <charset val="134"/>
      </rPr>
      <t>日签订合同，无水单无发票，不予支持</t>
    </r>
  </si>
  <si>
    <t>2021.5.6</t>
  </si>
  <si>
    <r>
      <rPr>
        <sz val="10"/>
        <color theme="1"/>
        <rFont val="宋体"/>
        <charset val="134"/>
      </rPr>
      <t>出口通服务费</t>
    </r>
  </si>
  <si>
    <r>
      <rPr>
        <sz val="10"/>
        <color theme="1"/>
        <rFont val="Arial Narrow"/>
        <charset val="134"/>
      </rPr>
      <t>2020.6.30</t>
    </r>
    <r>
      <rPr>
        <sz val="10"/>
        <color theme="1"/>
        <rFont val="宋体"/>
        <charset val="134"/>
      </rPr>
      <t>，</t>
    </r>
    <r>
      <rPr>
        <sz val="10"/>
        <color theme="1"/>
        <rFont val="Arial Narrow"/>
        <charset val="134"/>
      </rPr>
      <t>12</t>
    </r>
    <r>
      <rPr>
        <sz val="10"/>
        <color theme="1"/>
        <rFont val="宋体"/>
        <charset val="134"/>
      </rPr>
      <t>个月</t>
    </r>
  </si>
  <si>
    <t>2020.11.20</t>
  </si>
  <si>
    <r>
      <rPr>
        <sz val="10"/>
        <color theme="1"/>
        <rFont val="宋体"/>
        <charset val="134"/>
      </rPr>
      <t>无水单，不予支持</t>
    </r>
  </si>
  <si>
    <t>2021.5.7</t>
  </si>
  <si>
    <r>
      <rPr>
        <sz val="10"/>
        <color theme="1"/>
        <rFont val="Arial Narrow"/>
        <charset val="134"/>
      </rPr>
      <t>2020.11.29</t>
    </r>
    <r>
      <rPr>
        <sz val="10"/>
        <color theme="1"/>
        <rFont val="宋体"/>
        <charset val="134"/>
      </rPr>
      <t>，</t>
    </r>
    <r>
      <rPr>
        <sz val="10"/>
        <color theme="1"/>
        <rFont val="Arial Narrow"/>
        <charset val="134"/>
      </rPr>
      <t>24</t>
    </r>
    <r>
      <rPr>
        <sz val="10"/>
        <color theme="1"/>
        <rFont val="宋体"/>
        <charset val="134"/>
      </rPr>
      <t>个月</t>
    </r>
  </si>
  <si>
    <t>2020.11.19</t>
  </si>
  <si>
    <t>2021.8.31</t>
  </si>
  <si>
    <t>2021.5.8</t>
  </si>
  <si>
    <t>2019.12.12</t>
  </si>
  <si>
    <t>2020.9.16</t>
  </si>
  <si>
    <r>
      <rPr>
        <sz val="10"/>
        <color theme="1"/>
        <rFont val="宋体"/>
        <charset val="134"/>
      </rPr>
      <t>发票尾号</t>
    </r>
    <r>
      <rPr>
        <sz val="10"/>
        <color theme="1"/>
        <rFont val="Arial Narrow"/>
        <charset val="134"/>
      </rPr>
      <t>2798</t>
    </r>
    <r>
      <rPr>
        <sz val="10"/>
        <color theme="1"/>
        <rFont val="宋体"/>
        <charset val="134"/>
      </rPr>
      <t>，无水单，不予支持</t>
    </r>
  </si>
  <si>
    <t>2021.5.9</t>
  </si>
  <si>
    <t>2020.11.16</t>
  </si>
  <si>
    <r>
      <rPr>
        <sz val="10"/>
        <color theme="1"/>
        <rFont val="宋体"/>
        <charset val="134"/>
      </rPr>
      <t>发票尾号</t>
    </r>
    <r>
      <rPr>
        <sz val="10"/>
        <color theme="1"/>
        <rFont val="Arial Narrow"/>
        <charset val="134"/>
      </rPr>
      <t>2800</t>
    </r>
  </si>
  <si>
    <t>2021.5.10</t>
  </si>
  <si>
    <t>2021.5.21</t>
  </si>
  <si>
    <r>
      <rPr>
        <sz val="10"/>
        <color theme="1"/>
        <rFont val="Arial Narrow"/>
        <charset val="134"/>
      </rPr>
      <t>2020.10</t>
    </r>
    <r>
      <rPr>
        <sz val="10"/>
        <color theme="1"/>
        <rFont val="宋体"/>
        <charset val="134"/>
      </rPr>
      <t>服务费，无水单，不予支持</t>
    </r>
  </si>
  <si>
    <t>2021.5.11</t>
  </si>
  <si>
    <r>
      <rPr>
        <sz val="10"/>
        <color theme="1"/>
        <rFont val="Arial Narrow"/>
        <charset val="134"/>
      </rPr>
      <t>2020.6</t>
    </r>
    <r>
      <rPr>
        <sz val="10"/>
        <color theme="1"/>
        <rFont val="宋体"/>
        <charset val="134"/>
      </rPr>
      <t>服务费</t>
    </r>
  </si>
  <si>
    <r>
      <rPr>
        <sz val="10"/>
        <color theme="1"/>
        <rFont val="Arial Narrow"/>
        <charset val="134"/>
      </rPr>
      <t>2021.4</t>
    </r>
    <r>
      <rPr>
        <sz val="10"/>
        <color theme="1"/>
        <rFont val="宋体"/>
        <charset val="134"/>
      </rPr>
      <t>服务费</t>
    </r>
  </si>
  <si>
    <r>
      <rPr>
        <sz val="10"/>
        <color theme="1"/>
        <rFont val="Arial Narrow"/>
        <charset val="134"/>
      </rPr>
      <t>2020.11</t>
    </r>
    <r>
      <rPr>
        <sz val="10"/>
        <color theme="1"/>
        <rFont val="宋体"/>
        <charset val="134"/>
      </rPr>
      <t>服务费</t>
    </r>
  </si>
  <si>
    <t>2021.5.13</t>
  </si>
  <si>
    <r>
      <rPr>
        <sz val="10"/>
        <color theme="1"/>
        <rFont val="Arial Narrow"/>
        <charset val="134"/>
      </rPr>
      <t>2020.12</t>
    </r>
    <r>
      <rPr>
        <sz val="10"/>
        <color theme="1"/>
        <rFont val="宋体"/>
        <charset val="134"/>
      </rPr>
      <t>服务费</t>
    </r>
  </si>
  <si>
    <t>2021.5.14</t>
  </si>
  <si>
    <r>
      <rPr>
        <sz val="10"/>
        <color theme="1"/>
        <rFont val="Arial Narrow"/>
        <charset val="134"/>
      </rPr>
      <t>2021.5</t>
    </r>
    <r>
      <rPr>
        <sz val="10"/>
        <color theme="1"/>
        <rFont val="宋体"/>
        <charset val="134"/>
      </rPr>
      <t>服务费</t>
    </r>
  </si>
  <si>
    <t>2021.5.15</t>
  </si>
  <si>
    <r>
      <rPr>
        <sz val="10"/>
        <color theme="1"/>
        <rFont val="Arial Narrow"/>
        <charset val="134"/>
      </rPr>
      <t>2021.2</t>
    </r>
    <r>
      <rPr>
        <sz val="10"/>
        <color theme="1"/>
        <rFont val="宋体"/>
        <charset val="134"/>
      </rPr>
      <t>服务费</t>
    </r>
  </si>
  <si>
    <t>2021.5.16</t>
  </si>
  <si>
    <r>
      <rPr>
        <sz val="10"/>
        <color theme="1"/>
        <rFont val="Arial Narrow"/>
        <charset val="134"/>
      </rPr>
      <t>2021.6</t>
    </r>
    <r>
      <rPr>
        <sz val="10"/>
        <color theme="1"/>
        <rFont val="宋体"/>
        <charset val="134"/>
      </rPr>
      <t>服务费</t>
    </r>
  </si>
  <si>
    <t>2021.5.17</t>
  </si>
  <si>
    <r>
      <rPr>
        <sz val="10"/>
        <color theme="1"/>
        <rFont val="Arial Narrow"/>
        <charset val="134"/>
      </rPr>
      <t>2021.3</t>
    </r>
    <r>
      <rPr>
        <sz val="10"/>
        <color theme="1"/>
        <rFont val="宋体"/>
        <charset val="134"/>
      </rPr>
      <t>服务费</t>
    </r>
  </si>
  <si>
    <r>
      <rPr>
        <sz val="10"/>
        <color theme="1"/>
        <rFont val="Arial Narrow"/>
        <charset val="134"/>
      </rPr>
      <t>2021.1</t>
    </r>
    <r>
      <rPr>
        <sz val="10"/>
        <color theme="1"/>
        <rFont val="宋体"/>
        <charset val="134"/>
      </rPr>
      <t>服务费</t>
    </r>
  </si>
  <si>
    <t>2021.5.18</t>
  </si>
  <si>
    <t>2021.5.19</t>
  </si>
  <si>
    <r>
      <rPr>
        <sz val="10"/>
        <color theme="1"/>
        <rFont val="宋体"/>
        <charset val="134"/>
      </rPr>
      <t>思亿欧外贸快车套餐</t>
    </r>
  </si>
  <si>
    <r>
      <rPr>
        <sz val="10"/>
        <color theme="1"/>
        <rFont val="Arial Narrow"/>
        <charset val="134"/>
      </rPr>
      <t>2020.3.9,2</t>
    </r>
    <r>
      <rPr>
        <sz val="10"/>
        <color theme="1"/>
        <rFont val="宋体"/>
        <charset val="134"/>
      </rPr>
      <t>年</t>
    </r>
  </si>
  <si>
    <t>2020.3.10</t>
  </si>
  <si>
    <t>2020.4.1</t>
  </si>
  <si>
    <t>2021.5.20</t>
  </si>
  <si>
    <t>2020.3.31</t>
  </si>
  <si>
    <r>
      <rPr>
        <sz val="10"/>
        <color theme="1"/>
        <rFont val="Arial Narrow"/>
        <charset val="134"/>
      </rPr>
      <t>2021.6.23</t>
    </r>
    <r>
      <rPr>
        <sz val="10"/>
        <color theme="1"/>
        <rFont val="宋体"/>
        <charset val="134"/>
      </rPr>
      <t>，</t>
    </r>
    <r>
      <rPr>
        <sz val="10"/>
        <color theme="1"/>
        <rFont val="Arial Narrow"/>
        <charset val="134"/>
      </rPr>
      <t>12</t>
    </r>
    <r>
      <rPr>
        <sz val="10"/>
        <color theme="1"/>
        <rFont val="宋体"/>
        <charset val="134"/>
      </rPr>
      <t>个月</t>
    </r>
  </si>
  <si>
    <t>2021.6.25</t>
  </si>
  <si>
    <t>2021.7.5</t>
  </si>
  <si>
    <t>2021.5.22</t>
  </si>
  <si>
    <t>2021.6.28</t>
  </si>
  <si>
    <t>2021.5.23</t>
  </si>
  <si>
    <t>2021.6.23</t>
  </si>
  <si>
    <t>2022.6.24</t>
  </si>
  <si>
    <r>
      <rPr>
        <sz val="10"/>
        <color theme="1"/>
        <rFont val="Arial Narrow"/>
        <charset val="134"/>
      </rPr>
      <t>13000</t>
    </r>
    <r>
      <rPr>
        <sz val="10"/>
        <color theme="1"/>
        <rFont val="宋体"/>
        <charset val="134"/>
      </rPr>
      <t>为</t>
    </r>
    <r>
      <rPr>
        <sz val="10"/>
        <color theme="1"/>
        <rFont val="Arial Narrow"/>
        <charset val="134"/>
      </rPr>
      <t>21.2-21.11</t>
    </r>
    <r>
      <rPr>
        <sz val="10"/>
        <color theme="1"/>
        <rFont val="宋体"/>
        <charset val="134"/>
      </rPr>
      <t>服务费</t>
    </r>
  </si>
  <si>
    <t>2021.2.24</t>
  </si>
  <si>
    <t>2021.5.24</t>
  </si>
  <si>
    <t>外贸直通车预充值</t>
  </si>
  <si>
    <t>2020.5.27</t>
  </si>
  <si>
    <t>2020.5.28</t>
  </si>
  <si>
    <t>2022.7.19</t>
  </si>
  <si>
    <r>
      <rPr>
        <sz val="10"/>
        <color theme="1"/>
        <rFont val="Arial Narrow"/>
        <charset val="134"/>
      </rPr>
      <t>10000</t>
    </r>
    <r>
      <rPr>
        <sz val="10"/>
        <color theme="1"/>
        <rFont val="宋体"/>
        <charset val="134"/>
      </rPr>
      <t>为</t>
    </r>
    <r>
      <rPr>
        <sz val="10"/>
        <color theme="1"/>
        <rFont val="Arial Narrow"/>
        <charset val="134"/>
      </rPr>
      <t>20.5-20.8</t>
    </r>
    <r>
      <rPr>
        <sz val="10"/>
        <color theme="1"/>
        <rFont val="宋体"/>
        <charset val="134"/>
      </rPr>
      <t>服务费</t>
    </r>
  </si>
  <si>
    <t>2021.5.25</t>
  </si>
  <si>
    <t>2021.5.26</t>
  </si>
  <si>
    <r>
      <rPr>
        <sz val="10"/>
        <color theme="1"/>
        <rFont val="Arial Narrow"/>
        <charset val="134"/>
      </rPr>
      <t>2021.6.24</t>
    </r>
    <r>
      <rPr>
        <sz val="10"/>
        <color theme="1"/>
        <rFont val="宋体"/>
        <charset val="134"/>
      </rPr>
      <t>，</t>
    </r>
    <r>
      <rPr>
        <sz val="10"/>
        <color theme="1"/>
        <rFont val="Arial Narrow"/>
        <charset val="134"/>
      </rPr>
      <t>24</t>
    </r>
    <r>
      <rPr>
        <sz val="10"/>
        <color theme="1"/>
        <rFont val="宋体"/>
        <charset val="134"/>
      </rPr>
      <t>个月</t>
    </r>
  </si>
  <si>
    <t>2021.5.27</t>
  </si>
  <si>
    <r>
      <rPr>
        <sz val="10"/>
        <color theme="1"/>
        <rFont val="Arial Narrow"/>
        <charset val="134"/>
      </rPr>
      <t>2020.12.23</t>
    </r>
    <r>
      <rPr>
        <sz val="10"/>
        <color theme="1"/>
        <rFont val="宋体"/>
        <charset val="134"/>
      </rPr>
      <t>，</t>
    </r>
    <r>
      <rPr>
        <sz val="10"/>
        <color theme="1"/>
        <rFont val="Arial Narrow"/>
        <charset val="134"/>
      </rPr>
      <t>24</t>
    </r>
    <r>
      <rPr>
        <sz val="10"/>
        <color theme="1"/>
        <rFont val="宋体"/>
        <charset val="134"/>
      </rPr>
      <t>个月</t>
    </r>
  </si>
  <si>
    <t>2020.12.22</t>
  </si>
  <si>
    <t>2020.12.25</t>
  </si>
  <si>
    <t>2021.5.28</t>
  </si>
  <si>
    <t>2020.2.17</t>
  </si>
  <si>
    <t>只有发票，无合同无水单，不予支持</t>
  </si>
  <si>
    <t>2021.5.29</t>
  </si>
  <si>
    <t>2021.8.26</t>
  </si>
  <si>
    <t>2020.2.18</t>
  </si>
  <si>
    <t>2021.5.30</t>
  </si>
  <si>
    <t>2020.10.23</t>
  </si>
  <si>
    <t>2021.5.31</t>
  </si>
  <si>
    <t>2021.10.29</t>
  </si>
  <si>
    <t>2020.12.24</t>
  </si>
  <si>
    <r>
      <rPr>
        <sz val="10"/>
        <color theme="1"/>
        <rFont val="Arial Narrow"/>
        <charset val="134"/>
      </rPr>
      <t>2020.6.1</t>
    </r>
    <r>
      <rPr>
        <sz val="10"/>
        <color theme="1"/>
        <rFont val="宋体"/>
        <charset val="134"/>
      </rPr>
      <t>，</t>
    </r>
    <r>
      <rPr>
        <sz val="10"/>
        <color theme="1"/>
        <rFont val="Arial Narrow"/>
        <charset val="134"/>
      </rPr>
      <t>24</t>
    </r>
    <r>
      <rPr>
        <sz val="10"/>
        <color theme="1"/>
        <rFont val="宋体"/>
        <charset val="134"/>
      </rPr>
      <t>个月</t>
    </r>
  </si>
  <si>
    <t>2020.6.1</t>
  </si>
  <si>
    <t>2020.6.4</t>
  </si>
  <si>
    <t>2020.11.10</t>
  </si>
  <si>
    <t>2020.11.30</t>
  </si>
  <si>
    <r>
      <rPr>
        <sz val="10"/>
        <color theme="1"/>
        <rFont val="Arial Narrow"/>
        <charset val="134"/>
      </rPr>
      <t>2020.12.1</t>
    </r>
    <r>
      <rPr>
        <sz val="10"/>
        <color theme="1"/>
        <rFont val="宋体"/>
        <charset val="134"/>
      </rPr>
      <t>，</t>
    </r>
    <r>
      <rPr>
        <sz val="10"/>
        <color theme="1"/>
        <rFont val="Arial Narrow"/>
        <charset val="134"/>
      </rPr>
      <t>12</t>
    </r>
    <r>
      <rPr>
        <sz val="10"/>
        <color theme="1"/>
        <rFont val="宋体"/>
        <charset val="134"/>
      </rPr>
      <t>个月</t>
    </r>
  </si>
  <si>
    <t>2020.12.7</t>
  </si>
  <si>
    <r>
      <rPr>
        <sz val="10"/>
        <color theme="1"/>
        <rFont val="Arial Narrow"/>
        <charset val="134"/>
      </rPr>
      <t>2020.6.10</t>
    </r>
    <r>
      <rPr>
        <sz val="10"/>
        <color theme="1"/>
        <rFont val="宋体"/>
        <charset val="134"/>
      </rPr>
      <t>，</t>
    </r>
    <r>
      <rPr>
        <sz val="10"/>
        <color theme="1"/>
        <rFont val="Arial Narrow"/>
        <charset val="134"/>
      </rPr>
      <t>24</t>
    </r>
    <r>
      <rPr>
        <sz val="10"/>
        <color theme="1"/>
        <rFont val="宋体"/>
        <charset val="134"/>
      </rPr>
      <t>个月</t>
    </r>
  </si>
  <si>
    <t>2020.6.10</t>
  </si>
  <si>
    <t>2020.6.21</t>
  </si>
  <si>
    <r>
      <rPr>
        <sz val="10"/>
        <color theme="1"/>
        <rFont val="Arial Narrow"/>
        <charset val="134"/>
      </rPr>
      <t>2020.9.14</t>
    </r>
    <r>
      <rPr>
        <sz val="10"/>
        <color theme="1"/>
        <rFont val="宋体"/>
        <charset val="134"/>
      </rPr>
      <t>，</t>
    </r>
    <r>
      <rPr>
        <sz val="10"/>
        <color theme="1"/>
        <rFont val="Arial Narrow"/>
        <charset val="134"/>
      </rPr>
      <t>24</t>
    </r>
    <r>
      <rPr>
        <sz val="10"/>
        <color theme="1"/>
        <rFont val="宋体"/>
        <charset val="134"/>
      </rPr>
      <t>个月</t>
    </r>
  </si>
  <si>
    <t>2020.9.14</t>
  </si>
  <si>
    <t>2020.9.18</t>
  </si>
  <si>
    <r>
      <rPr>
        <sz val="10"/>
        <color theme="1"/>
        <rFont val="Arial Narrow"/>
        <charset val="134"/>
      </rPr>
      <t>2020.12.14</t>
    </r>
    <r>
      <rPr>
        <sz val="10"/>
        <color theme="1"/>
        <rFont val="宋体"/>
        <charset val="134"/>
      </rPr>
      <t>，</t>
    </r>
    <r>
      <rPr>
        <sz val="10"/>
        <color theme="1"/>
        <rFont val="Arial Narrow"/>
        <charset val="134"/>
      </rPr>
      <t>12</t>
    </r>
    <r>
      <rPr>
        <sz val="10"/>
        <color theme="1"/>
        <rFont val="宋体"/>
        <charset val="134"/>
      </rPr>
      <t>个月</t>
    </r>
  </si>
  <si>
    <t>2020.12.14</t>
  </si>
  <si>
    <t>2020.12.21</t>
  </si>
  <si>
    <r>
      <rPr>
        <sz val="10"/>
        <color theme="1"/>
        <rFont val="宋体"/>
        <charset val="134"/>
      </rPr>
      <t>企业邮局</t>
    </r>
    <r>
      <rPr>
        <sz val="10"/>
        <color theme="1"/>
        <rFont val="Arial Narrow"/>
        <charset val="134"/>
      </rPr>
      <t>35</t>
    </r>
    <r>
      <rPr>
        <sz val="10"/>
        <color theme="1"/>
        <rFont val="宋体"/>
        <charset val="134"/>
      </rPr>
      <t>云邮</t>
    </r>
  </si>
  <si>
    <t>2018.5.8-2022.5.7</t>
  </si>
  <si>
    <t>2018.5.31</t>
  </si>
  <si>
    <t>2018.5.21</t>
  </si>
  <si>
    <t>2018.5.29</t>
  </si>
  <si>
    <r>
      <rPr>
        <sz val="10"/>
        <color theme="1"/>
        <rFont val="宋体"/>
        <charset val="134"/>
      </rPr>
      <t>跨境搜服务费</t>
    </r>
  </si>
  <si>
    <t>2020.8.25-2021.9.25</t>
  </si>
  <si>
    <t>2020.8.26</t>
  </si>
  <si>
    <t>2020.9.2</t>
  </si>
  <si>
    <t>2021.9.25-2024.3.25</t>
  </si>
  <si>
    <t>2021.6.30</t>
  </si>
  <si>
    <r>
      <rPr>
        <sz val="10"/>
        <color theme="1"/>
        <rFont val="宋体"/>
        <charset val="134"/>
      </rPr>
      <t>外贸快车系统平台费</t>
    </r>
  </si>
  <si>
    <r>
      <rPr>
        <sz val="10"/>
        <color theme="1"/>
        <rFont val="宋体"/>
        <charset val="134"/>
      </rPr>
      <t>无</t>
    </r>
  </si>
  <si>
    <t>2021.7.15</t>
  </si>
  <si>
    <r>
      <rPr>
        <sz val="10"/>
        <color theme="1"/>
        <rFont val="Arial Narrow"/>
        <charset val="134"/>
      </rPr>
      <t>2021.11.1</t>
    </r>
    <r>
      <rPr>
        <sz val="10"/>
        <color theme="1"/>
        <rFont val="宋体"/>
        <charset val="134"/>
      </rPr>
      <t>，</t>
    </r>
    <r>
      <rPr>
        <sz val="10"/>
        <color theme="1"/>
        <rFont val="Arial Narrow"/>
        <charset val="134"/>
      </rPr>
      <t>12</t>
    </r>
    <r>
      <rPr>
        <sz val="10"/>
        <color theme="1"/>
        <rFont val="宋体"/>
        <charset val="134"/>
      </rPr>
      <t>个月</t>
    </r>
  </si>
  <si>
    <t>2020.12.9</t>
  </si>
  <si>
    <t>票据不匹配，不予支持</t>
  </si>
  <si>
    <r>
      <rPr>
        <sz val="10"/>
        <color theme="1"/>
        <rFont val="宋体"/>
        <charset val="134"/>
      </rPr>
      <t>全球资源广告费</t>
    </r>
  </si>
  <si>
    <t>2019.9.14-2021.9.13</t>
  </si>
  <si>
    <t>2019.6.4</t>
  </si>
  <si>
    <t>2019.6.12</t>
  </si>
  <si>
    <r>
      <rPr>
        <sz val="10"/>
        <color theme="1"/>
        <rFont val="宋体"/>
        <charset val="134"/>
      </rPr>
      <t>水单</t>
    </r>
    <r>
      <rPr>
        <sz val="10"/>
        <color theme="1"/>
        <rFont val="Arial Narrow"/>
        <charset val="134"/>
      </rPr>
      <t>2019</t>
    </r>
    <r>
      <rPr>
        <sz val="10"/>
        <color theme="1"/>
        <rFont val="宋体"/>
        <charset val="134"/>
      </rPr>
      <t>年，不予支持</t>
    </r>
  </si>
  <si>
    <r>
      <rPr>
        <sz val="10"/>
        <color theme="1"/>
        <rFont val="宋体"/>
        <charset val="134"/>
      </rPr>
      <t>中国制造网英文站服务费</t>
    </r>
  </si>
  <si>
    <t>2021.8.28-2022.8.27</t>
  </si>
  <si>
    <t>2021.7.7</t>
  </si>
  <si>
    <t>三种票据单位均为天津市润飞钢材加工有限公司，不予支持</t>
  </si>
  <si>
    <t>2018.10.1-2019.9.30</t>
  </si>
  <si>
    <t>合同有效期不在申报期内，无水单无发票，不予支持</t>
  </si>
  <si>
    <r>
      <rPr>
        <sz val="10"/>
        <color theme="1"/>
        <rFont val="Arial Narrow"/>
        <charset val="134"/>
      </rPr>
      <t>2019.12.3</t>
    </r>
    <r>
      <rPr>
        <sz val="10"/>
        <color theme="1"/>
        <rFont val="宋体"/>
        <charset val="134"/>
      </rPr>
      <t>，</t>
    </r>
    <r>
      <rPr>
        <sz val="10"/>
        <color theme="1"/>
        <rFont val="Arial Narrow"/>
        <charset val="134"/>
      </rPr>
      <t>24</t>
    </r>
    <r>
      <rPr>
        <sz val="10"/>
        <color theme="1"/>
        <rFont val="宋体"/>
        <charset val="134"/>
      </rPr>
      <t>个月</t>
    </r>
  </si>
  <si>
    <t>2020.12.30</t>
  </si>
  <si>
    <t>2020.12.1</t>
  </si>
  <si>
    <t>2020.11.26</t>
  </si>
  <si>
    <r>
      <rPr>
        <sz val="10"/>
        <color theme="1"/>
        <rFont val="宋体"/>
        <charset val="134"/>
      </rPr>
      <t>无合同，不予支持</t>
    </r>
  </si>
  <si>
    <t>2021.6.4</t>
  </si>
  <si>
    <r>
      <rPr>
        <sz val="10"/>
        <color theme="1"/>
        <rFont val="Arial Narrow"/>
        <charset val="134"/>
      </rPr>
      <t>2018.6.14</t>
    </r>
    <r>
      <rPr>
        <sz val="10"/>
        <color theme="1"/>
        <rFont val="宋体"/>
        <charset val="134"/>
      </rPr>
      <t>，</t>
    </r>
    <r>
      <rPr>
        <sz val="10"/>
        <color theme="1"/>
        <rFont val="Arial Narrow"/>
        <charset val="134"/>
      </rPr>
      <t>12</t>
    </r>
    <r>
      <rPr>
        <sz val="10"/>
        <color theme="1"/>
        <rFont val="宋体"/>
        <charset val="134"/>
      </rPr>
      <t>个月</t>
    </r>
  </si>
  <si>
    <t>无水单，不予支持，不影响档位</t>
  </si>
  <si>
    <r>
      <rPr>
        <sz val="10"/>
        <color theme="1"/>
        <rFont val="Arial Narrow"/>
        <charset val="134"/>
      </rPr>
      <t>2020.6.2</t>
    </r>
    <r>
      <rPr>
        <sz val="10"/>
        <color theme="1"/>
        <rFont val="宋体"/>
        <charset val="134"/>
      </rPr>
      <t>，</t>
    </r>
    <r>
      <rPr>
        <sz val="10"/>
        <color theme="1"/>
        <rFont val="Arial Narrow"/>
        <charset val="134"/>
      </rPr>
      <t>12</t>
    </r>
    <r>
      <rPr>
        <sz val="10"/>
        <color theme="1"/>
        <rFont val="宋体"/>
        <charset val="134"/>
      </rPr>
      <t>个月</t>
    </r>
  </si>
  <si>
    <t>无合同，不予支持</t>
  </si>
  <si>
    <t>2020.5.26</t>
  </si>
  <si>
    <r>
      <rPr>
        <sz val="10"/>
        <color theme="1"/>
        <rFont val="Arial Narrow"/>
        <charset val="134"/>
      </rPr>
      <t>15</t>
    </r>
    <r>
      <rPr>
        <sz val="10"/>
        <color theme="1"/>
        <rFont val="宋体"/>
        <charset val="134"/>
      </rPr>
      <t>张预充值发票，无对应合同，不影响补助金额，未录入</t>
    </r>
  </si>
  <si>
    <t>2021.3.2</t>
  </si>
  <si>
    <t>2021.12.7</t>
  </si>
  <si>
    <t>全球宝服务费</t>
  </si>
  <si>
    <r>
      <rPr>
        <sz val="10"/>
        <color theme="1"/>
        <rFont val="Arial Narrow"/>
        <charset val="134"/>
      </rPr>
      <t>2020.4.28</t>
    </r>
    <r>
      <rPr>
        <sz val="10"/>
        <color theme="1"/>
        <rFont val="宋体"/>
        <charset val="134"/>
      </rPr>
      <t>，</t>
    </r>
    <r>
      <rPr>
        <sz val="10"/>
        <color theme="1"/>
        <rFont val="Arial Narrow"/>
        <charset val="134"/>
      </rPr>
      <t>12</t>
    </r>
    <r>
      <rPr>
        <sz val="10"/>
        <color theme="1"/>
        <rFont val="宋体"/>
        <charset val="134"/>
      </rPr>
      <t>个月</t>
    </r>
  </si>
  <si>
    <t>2020.4.29</t>
  </si>
  <si>
    <r>
      <rPr>
        <sz val="10"/>
        <color theme="1"/>
        <rFont val="Arial Narrow"/>
        <charset val="134"/>
      </rPr>
      <t>2021.8</t>
    </r>
    <r>
      <rPr>
        <sz val="10"/>
        <color theme="1"/>
        <rFont val="宋体"/>
        <charset val="134"/>
      </rPr>
      <t>.</t>
    </r>
    <r>
      <rPr>
        <sz val="10"/>
        <color theme="1"/>
        <rFont val="Arial Narrow"/>
        <charset val="134"/>
      </rPr>
      <t>5</t>
    </r>
  </si>
  <si>
    <r>
      <rPr>
        <sz val="10"/>
        <color theme="1"/>
        <rFont val="Arial Narrow"/>
        <charset val="134"/>
      </rPr>
      <t>2020.12.15</t>
    </r>
    <r>
      <rPr>
        <sz val="10"/>
        <color theme="1"/>
        <rFont val="宋体"/>
        <charset val="134"/>
      </rPr>
      <t>，</t>
    </r>
    <r>
      <rPr>
        <sz val="10"/>
        <color theme="1"/>
        <rFont val="Arial Narrow"/>
        <charset val="134"/>
      </rPr>
      <t>12</t>
    </r>
    <r>
      <rPr>
        <sz val="10"/>
        <color theme="1"/>
        <rFont val="宋体"/>
        <charset val="134"/>
      </rPr>
      <t>个月</t>
    </r>
  </si>
  <si>
    <t>2022.7.29</t>
  </si>
  <si>
    <r>
      <rPr>
        <sz val="10"/>
        <color theme="1"/>
        <rFont val="宋体"/>
        <charset val="134"/>
      </rPr>
      <t>缺水单，附信用支付截图，实付</t>
    </r>
    <r>
      <rPr>
        <sz val="10"/>
        <color theme="1"/>
        <rFont val="Arial Narrow"/>
        <charset val="134"/>
      </rPr>
      <t>69589.04</t>
    </r>
    <r>
      <rPr>
        <sz val="10"/>
        <color theme="1"/>
        <rFont val="宋体"/>
        <charset val="134"/>
      </rPr>
      <t>，与发票金额不符，发票</t>
    </r>
    <r>
      <rPr>
        <sz val="10"/>
        <color theme="1"/>
        <rFont val="Arial Narrow"/>
        <charset val="134"/>
      </rPr>
      <t>2022</t>
    </r>
    <r>
      <rPr>
        <sz val="10"/>
        <color theme="1"/>
        <rFont val="宋体"/>
        <charset val="134"/>
      </rPr>
      <t>年</t>
    </r>
    <r>
      <rPr>
        <sz val="10"/>
        <color theme="1"/>
        <rFont val="Arial Narrow"/>
        <charset val="134"/>
      </rPr>
      <t>7</t>
    </r>
    <r>
      <rPr>
        <sz val="10"/>
        <color theme="1"/>
        <rFont val="宋体"/>
        <charset val="134"/>
      </rPr>
      <t>月</t>
    </r>
  </si>
  <si>
    <r>
      <rPr>
        <sz val="10"/>
        <color theme="1"/>
        <rFont val="Arial Narrow"/>
        <charset val="134"/>
      </rPr>
      <t>2020.12.14</t>
    </r>
    <r>
      <rPr>
        <sz val="10"/>
        <color theme="1"/>
        <rFont val="宋体"/>
        <charset val="134"/>
      </rPr>
      <t>，</t>
    </r>
    <r>
      <rPr>
        <sz val="10"/>
        <color theme="1"/>
        <rFont val="Arial Narrow"/>
        <charset val="134"/>
      </rPr>
      <t>24</t>
    </r>
    <r>
      <rPr>
        <sz val="10"/>
        <color theme="1"/>
        <rFont val="宋体"/>
        <charset val="134"/>
      </rPr>
      <t>个月</t>
    </r>
  </si>
  <si>
    <t>2022.3.8</t>
  </si>
  <si>
    <t>2021.1.12</t>
  </si>
  <si>
    <r>
      <rPr>
        <sz val="10"/>
        <color theme="1"/>
        <rFont val="Arial Narrow"/>
        <charset val="134"/>
      </rPr>
      <t>2020.6</t>
    </r>
    <r>
      <rPr>
        <sz val="10"/>
        <color theme="1"/>
        <rFont val="宋体"/>
        <charset val="134"/>
      </rPr>
      <t>服务费发票</t>
    </r>
  </si>
  <si>
    <r>
      <rPr>
        <sz val="10"/>
        <color theme="1"/>
        <rFont val="Arial Narrow"/>
        <charset val="134"/>
      </rPr>
      <t>2020.11</t>
    </r>
    <r>
      <rPr>
        <sz val="10"/>
        <color theme="1"/>
        <rFont val="宋体"/>
        <charset val="134"/>
      </rPr>
      <t>服务费发票</t>
    </r>
  </si>
  <si>
    <t>2020.5.29</t>
  </si>
  <si>
    <r>
      <rPr>
        <sz val="10"/>
        <color theme="1"/>
        <rFont val="Arial Narrow"/>
        <charset val="134"/>
      </rPr>
      <t>2020.12</t>
    </r>
    <r>
      <rPr>
        <sz val="10"/>
        <color theme="1"/>
        <rFont val="宋体"/>
        <charset val="134"/>
      </rPr>
      <t>服务费发票</t>
    </r>
  </si>
  <si>
    <r>
      <rPr>
        <sz val="10"/>
        <color theme="1"/>
        <rFont val="Arial Narrow"/>
        <charset val="134"/>
      </rPr>
      <t>2020.3</t>
    </r>
    <r>
      <rPr>
        <sz val="10"/>
        <color theme="1"/>
        <rFont val="宋体"/>
        <charset val="134"/>
      </rPr>
      <t>服务费发票</t>
    </r>
  </si>
  <si>
    <r>
      <rPr>
        <sz val="10"/>
        <color theme="1"/>
        <rFont val="Arial Narrow"/>
        <charset val="134"/>
      </rPr>
      <t>2020.4</t>
    </r>
    <r>
      <rPr>
        <sz val="10"/>
        <color theme="1"/>
        <rFont val="宋体"/>
        <charset val="134"/>
      </rPr>
      <t>服务费发票</t>
    </r>
  </si>
  <si>
    <t>2021.1.11</t>
  </si>
  <si>
    <t>出口通发票，无对应水单和合同，不予支持</t>
  </si>
  <si>
    <t>2021.7.8</t>
  </si>
  <si>
    <r>
      <rPr>
        <sz val="10"/>
        <color theme="1"/>
        <rFont val="Arial Narrow"/>
        <charset val="134"/>
      </rPr>
      <t>2021.6.28</t>
    </r>
    <r>
      <rPr>
        <sz val="10"/>
        <color theme="1"/>
        <rFont val="宋体"/>
        <charset val="134"/>
      </rPr>
      <t>，</t>
    </r>
    <r>
      <rPr>
        <sz val="10"/>
        <color theme="1"/>
        <rFont val="Arial Narrow"/>
        <charset val="134"/>
      </rPr>
      <t>12</t>
    </r>
    <r>
      <rPr>
        <sz val="10"/>
        <color theme="1"/>
        <rFont val="宋体"/>
        <charset val="134"/>
      </rPr>
      <t>个月</t>
    </r>
  </si>
  <si>
    <t>2021.6.29</t>
  </si>
  <si>
    <t>2021.9.30</t>
  </si>
  <si>
    <r>
      <rPr>
        <sz val="10"/>
        <color theme="1"/>
        <rFont val="Arial Narrow"/>
        <charset val="134"/>
      </rPr>
      <t>2020.12.23</t>
    </r>
    <r>
      <rPr>
        <sz val="10"/>
        <color theme="1"/>
        <rFont val="宋体"/>
        <charset val="134"/>
      </rPr>
      <t>，</t>
    </r>
    <r>
      <rPr>
        <sz val="10"/>
        <color theme="1"/>
        <rFont val="Arial Narrow"/>
        <charset val="134"/>
      </rPr>
      <t>12</t>
    </r>
    <r>
      <rPr>
        <sz val="10"/>
        <color theme="1"/>
        <rFont val="宋体"/>
        <charset val="134"/>
      </rPr>
      <t>个月</t>
    </r>
  </si>
  <si>
    <t>2020.12.23</t>
  </si>
  <si>
    <r>
      <rPr>
        <sz val="10"/>
        <color theme="1"/>
        <rFont val="Arial Narrow"/>
        <charset val="134"/>
      </rPr>
      <t>2020.11.20</t>
    </r>
    <r>
      <rPr>
        <sz val="10"/>
        <color theme="1"/>
        <rFont val="宋体"/>
        <charset val="134"/>
      </rPr>
      <t>，</t>
    </r>
    <r>
      <rPr>
        <sz val="10"/>
        <color theme="1"/>
        <rFont val="Arial Narrow"/>
        <charset val="134"/>
      </rPr>
      <t>12</t>
    </r>
    <r>
      <rPr>
        <sz val="10"/>
        <color theme="1"/>
        <rFont val="宋体"/>
        <charset val="134"/>
      </rPr>
      <t>个月</t>
    </r>
  </si>
  <si>
    <t>2020.6.2</t>
  </si>
  <si>
    <t>该合同无对应的预充值发票，不予支持,不影响上限</t>
  </si>
  <si>
    <t>2020.6.29</t>
  </si>
  <si>
    <r>
      <rPr>
        <sz val="10"/>
        <color theme="1"/>
        <rFont val="宋体"/>
        <charset val="134"/>
      </rPr>
      <t>水单按</t>
    </r>
    <r>
      <rPr>
        <sz val="10"/>
        <color theme="1"/>
        <rFont val="Arial Narrow"/>
        <charset val="134"/>
      </rPr>
      <t>8</t>
    </r>
    <r>
      <rPr>
        <sz val="10"/>
        <color theme="1"/>
        <rFont val="宋体"/>
        <charset val="134"/>
      </rPr>
      <t>万计算，不影响上限</t>
    </r>
  </si>
  <si>
    <t>2020.3.3</t>
  </si>
  <si>
    <r>
      <rPr>
        <sz val="10"/>
        <color theme="1"/>
        <rFont val="Arial Narrow"/>
        <charset val="134"/>
      </rPr>
      <t>2019.9-2020.4</t>
    </r>
    <r>
      <rPr>
        <sz val="10"/>
        <color theme="1"/>
        <rFont val="宋体"/>
        <charset val="134"/>
      </rPr>
      <t>服务费发票</t>
    </r>
  </si>
  <si>
    <t>2020.10.26</t>
  </si>
  <si>
    <r>
      <rPr>
        <sz val="10"/>
        <color theme="1"/>
        <rFont val="Arial Narrow"/>
        <charset val="134"/>
      </rPr>
      <t>2020.5-2020.9</t>
    </r>
    <r>
      <rPr>
        <sz val="10"/>
        <color theme="1"/>
        <rFont val="宋体"/>
        <charset val="134"/>
      </rPr>
      <t>服务费发票</t>
    </r>
  </si>
  <si>
    <r>
      <rPr>
        <sz val="10"/>
        <color theme="1"/>
        <rFont val="Arial Narrow"/>
        <charset val="134"/>
      </rPr>
      <t>2020.5.13,12</t>
    </r>
    <r>
      <rPr>
        <sz val="10"/>
        <color theme="1"/>
        <rFont val="宋体"/>
        <charset val="134"/>
      </rPr>
      <t>个月</t>
    </r>
  </si>
  <si>
    <t>2020.5.25</t>
  </si>
  <si>
    <r>
      <rPr>
        <sz val="10"/>
        <color theme="1"/>
        <rFont val="Arial Narrow"/>
        <charset val="134"/>
      </rPr>
      <t>2020.12-2021.3</t>
    </r>
    <r>
      <rPr>
        <sz val="10"/>
        <color theme="1"/>
        <rFont val="宋体"/>
        <charset val="134"/>
      </rPr>
      <t>服务费发票</t>
    </r>
  </si>
  <si>
    <r>
      <rPr>
        <sz val="10"/>
        <color theme="1"/>
        <rFont val="宋体"/>
        <charset val="134"/>
      </rPr>
      <t>外贸牛谷歌服务费</t>
    </r>
  </si>
  <si>
    <t>无</t>
  </si>
  <si>
    <t>2020.6.16</t>
  </si>
  <si>
    <r>
      <rPr>
        <sz val="10"/>
        <color theme="1"/>
        <rFont val="Arial Narrow"/>
        <charset val="134"/>
      </rPr>
      <t>2020.12.18</t>
    </r>
    <r>
      <rPr>
        <sz val="10"/>
        <color theme="1"/>
        <rFont val="宋体"/>
        <charset val="134"/>
      </rPr>
      <t>，</t>
    </r>
    <r>
      <rPr>
        <sz val="10"/>
        <color theme="1"/>
        <rFont val="Arial Narrow"/>
        <charset val="134"/>
      </rPr>
      <t>24</t>
    </r>
    <r>
      <rPr>
        <sz val="10"/>
        <color theme="1"/>
        <rFont val="宋体"/>
        <charset val="134"/>
      </rPr>
      <t>个月</t>
    </r>
  </si>
  <si>
    <t>2020.12.18</t>
  </si>
  <si>
    <t>2021.1.4</t>
  </si>
  <si>
    <r>
      <rPr>
        <sz val="10"/>
        <color theme="1"/>
        <rFont val="Arial Narrow"/>
        <charset val="134"/>
      </rPr>
      <t>2020.12.18</t>
    </r>
  </si>
  <si>
    <t>2020.6.30</t>
  </si>
  <si>
    <r>
      <rPr>
        <sz val="10"/>
        <color theme="1"/>
        <rFont val="Arial Narrow"/>
        <charset val="134"/>
      </rPr>
      <t>2020.5</t>
    </r>
    <r>
      <rPr>
        <sz val="10"/>
        <color theme="1"/>
        <rFont val="宋体"/>
        <charset val="134"/>
      </rPr>
      <t>服务费</t>
    </r>
  </si>
  <si>
    <r>
      <rPr>
        <sz val="10"/>
        <color theme="1"/>
        <rFont val="Arial Narrow"/>
        <charset val="134"/>
      </rPr>
      <t>2020.3</t>
    </r>
    <r>
      <rPr>
        <sz val="10"/>
        <color theme="1"/>
        <rFont val="宋体"/>
        <charset val="134"/>
      </rPr>
      <t>服务费</t>
    </r>
  </si>
  <si>
    <r>
      <rPr>
        <sz val="10"/>
        <color theme="1"/>
        <rFont val="Arial Narrow"/>
        <charset val="134"/>
      </rPr>
      <t>2020.4服务费</t>
    </r>
  </si>
  <si>
    <r>
      <rPr>
        <sz val="10"/>
        <color theme="1"/>
        <rFont val="Arial Narrow"/>
        <charset val="134"/>
      </rPr>
      <t>2020.1</t>
    </r>
    <r>
      <rPr>
        <sz val="10"/>
        <color theme="1"/>
        <rFont val="宋体"/>
        <charset val="134"/>
      </rPr>
      <t>服务费</t>
    </r>
  </si>
  <si>
    <r>
      <rPr>
        <sz val="10"/>
        <color theme="1"/>
        <rFont val="Arial Narrow"/>
        <charset val="134"/>
      </rPr>
      <t>2020.2服务费</t>
    </r>
  </si>
  <si>
    <r>
      <rPr>
        <sz val="10"/>
        <color theme="1"/>
        <rFont val="Arial Narrow"/>
        <charset val="134"/>
      </rPr>
      <t>2019.11</t>
    </r>
    <r>
      <rPr>
        <sz val="10"/>
        <color theme="1"/>
        <rFont val="宋体"/>
        <charset val="134"/>
      </rPr>
      <t>服务费</t>
    </r>
  </si>
  <si>
    <r>
      <rPr>
        <sz val="10"/>
        <color theme="1"/>
        <rFont val="Arial Narrow"/>
        <charset val="134"/>
      </rPr>
      <t>2019.12服务费</t>
    </r>
  </si>
  <si>
    <t>2020.7.10</t>
  </si>
  <si>
    <t>2019.9.23</t>
  </si>
  <si>
    <t>2018.6.6</t>
  </si>
  <si>
    <t>2018.6.8</t>
  </si>
  <si>
    <t>无发票，不予支持</t>
  </si>
  <si>
    <t>顶级展位费</t>
  </si>
  <si>
    <r>
      <rPr>
        <sz val="10"/>
        <color theme="1"/>
        <rFont val="Arial Narrow"/>
        <charset val="134"/>
      </rPr>
      <t>2021.1.5</t>
    </r>
    <r>
      <rPr>
        <sz val="10"/>
        <color theme="1"/>
        <rFont val="宋体"/>
        <charset val="134"/>
      </rPr>
      <t>，</t>
    </r>
    <r>
      <rPr>
        <sz val="10"/>
        <color theme="1"/>
        <rFont val="Arial Narrow"/>
        <charset val="134"/>
      </rPr>
      <t>12</t>
    </r>
    <r>
      <rPr>
        <sz val="10"/>
        <color theme="1"/>
        <rFont val="宋体"/>
        <charset val="134"/>
      </rPr>
      <t>个月</t>
    </r>
  </si>
  <si>
    <t>2021.1.18</t>
  </si>
  <si>
    <t>2020.1.1-2020.12.31</t>
  </si>
  <si>
    <t>2019.12.6</t>
  </si>
  <si>
    <r>
      <rPr>
        <sz val="10"/>
        <color theme="1"/>
        <rFont val="宋体"/>
        <charset val="134"/>
      </rPr>
      <t>合同签订日期</t>
    </r>
    <r>
      <rPr>
        <sz val="10"/>
        <color theme="1"/>
        <rFont val="Arial Narrow"/>
        <charset val="134"/>
      </rPr>
      <t>2019.12.5</t>
    </r>
  </si>
  <si>
    <t>2020.2.28-2021.2.27</t>
  </si>
  <si>
    <t>2020.6.3</t>
  </si>
  <si>
    <r>
      <rPr>
        <sz val="10"/>
        <color theme="1"/>
        <rFont val="Arial Narrow"/>
        <charset val="134"/>
      </rPr>
      <t>2020.6.29</t>
    </r>
    <r>
      <rPr>
        <sz val="10"/>
        <color theme="1"/>
        <rFont val="宋体"/>
        <charset val="134"/>
      </rPr>
      <t>，</t>
    </r>
    <r>
      <rPr>
        <sz val="10"/>
        <color theme="1"/>
        <rFont val="Arial Narrow"/>
        <charset val="134"/>
      </rPr>
      <t>12</t>
    </r>
    <r>
      <rPr>
        <sz val="10"/>
        <color theme="1"/>
        <rFont val="宋体"/>
        <charset val="134"/>
      </rPr>
      <t>个月</t>
    </r>
  </si>
  <si>
    <t>2020.7.1</t>
  </si>
  <si>
    <t>2020.7.3</t>
  </si>
  <si>
    <t>无水单，不予支持，不影响上限</t>
  </si>
  <si>
    <r>
      <rPr>
        <sz val="10"/>
        <color theme="1"/>
        <rFont val="Arial Narrow"/>
        <charset val="134"/>
      </rPr>
      <t>2020.7.10</t>
    </r>
    <r>
      <rPr>
        <sz val="10"/>
        <color theme="1"/>
        <rFont val="宋体"/>
        <charset val="134"/>
      </rPr>
      <t>，</t>
    </r>
    <r>
      <rPr>
        <sz val="10"/>
        <color theme="1"/>
        <rFont val="Arial Narrow"/>
        <charset val="134"/>
      </rPr>
      <t>12</t>
    </r>
    <r>
      <rPr>
        <sz val="10"/>
        <color theme="1"/>
        <rFont val="宋体"/>
        <charset val="134"/>
      </rPr>
      <t>个月</t>
    </r>
  </si>
  <si>
    <t>2020.7.14</t>
  </si>
  <si>
    <t>2020.10.13</t>
  </si>
  <si>
    <t>2020.9.28</t>
  </si>
  <si>
    <r>
      <rPr>
        <sz val="10"/>
        <color theme="1"/>
        <rFont val="宋体"/>
        <charset val="134"/>
      </rPr>
      <t>购管理软件费</t>
    </r>
  </si>
  <si>
    <r>
      <rPr>
        <sz val="10"/>
        <color theme="1"/>
        <rFont val="Arial Narrow"/>
        <charset val="134"/>
      </rPr>
      <t>2021.1.14</t>
    </r>
    <r>
      <rPr>
        <sz val="10"/>
        <color theme="1"/>
        <rFont val="宋体"/>
        <charset val="134"/>
      </rPr>
      <t>，</t>
    </r>
    <r>
      <rPr>
        <sz val="10"/>
        <color theme="1"/>
        <rFont val="Arial Narrow"/>
        <charset val="134"/>
      </rPr>
      <t>24</t>
    </r>
    <r>
      <rPr>
        <sz val="10"/>
        <color theme="1"/>
        <rFont val="宋体"/>
        <charset val="134"/>
      </rPr>
      <t>个月</t>
    </r>
  </si>
  <si>
    <t>2021.1.19</t>
  </si>
  <si>
    <t>2019.6.13</t>
  </si>
  <si>
    <t>2019.7.15</t>
  </si>
  <si>
    <t>2019.12.5</t>
  </si>
  <si>
    <r>
      <rPr>
        <sz val="10"/>
        <color theme="1"/>
        <rFont val="Arial Narrow"/>
        <charset val="134"/>
      </rPr>
      <t>2020.5</t>
    </r>
    <r>
      <rPr>
        <sz val="10"/>
        <color theme="1"/>
        <rFont val="宋体"/>
        <charset val="134"/>
      </rPr>
      <t>服务费，</t>
    </r>
    <r>
      <rPr>
        <sz val="10"/>
        <color theme="1"/>
        <rFont val="Arial Narrow"/>
        <charset val="134"/>
      </rPr>
      <t>3</t>
    </r>
    <r>
      <rPr>
        <sz val="10"/>
        <color theme="1"/>
        <rFont val="宋体"/>
        <charset val="134"/>
      </rPr>
      <t>万的水单含在</t>
    </r>
    <r>
      <rPr>
        <sz val="10"/>
        <color theme="1"/>
        <rFont val="Arial Narrow"/>
        <charset val="134"/>
      </rPr>
      <t>49400</t>
    </r>
    <r>
      <rPr>
        <sz val="10"/>
        <color theme="1"/>
        <rFont val="宋体"/>
        <charset val="134"/>
      </rPr>
      <t>元</t>
    </r>
  </si>
  <si>
    <r>
      <rPr>
        <sz val="10"/>
        <color theme="1"/>
        <rFont val="Arial Narrow"/>
        <charset val="134"/>
      </rPr>
      <t>2020.1</t>
    </r>
    <r>
      <rPr>
        <sz val="10"/>
        <color theme="1"/>
        <rFont val="宋体"/>
        <charset val="134"/>
      </rPr>
      <t>服务费，</t>
    </r>
    <r>
      <rPr>
        <sz val="10"/>
        <color theme="1"/>
        <rFont val="Arial Narrow"/>
        <charset val="134"/>
      </rPr>
      <t>3</t>
    </r>
    <r>
      <rPr>
        <sz val="10"/>
        <color theme="1"/>
        <rFont val="宋体"/>
        <charset val="134"/>
      </rPr>
      <t>万的水单含在</t>
    </r>
    <r>
      <rPr>
        <sz val="10"/>
        <color theme="1"/>
        <rFont val="Arial Narrow"/>
        <charset val="134"/>
      </rPr>
      <t>40900</t>
    </r>
    <r>
      <rPr>
        <sz val="10"/>
        <color theme="1"/>
        <rFont val="宋体"/>
        <charset val="134"/>
      </rPr>
      <t>元</t>
    </r>
  </si>
  <si>
    <r>
      <rPr>
        <sz val="10"/>
        <color theme="1"/>
        <rFont val="Arial Narrow"/>
        <charset val="134"/>
      </rPr>
      <t>2020.4</t>
    </r>
    <r>
      <rPr>
        <sz val="10"/>
        <color theme="1"/>
        <rFont val="宋体"/>
        <charset val="134"/>
      </rPr>
      <t>服务费，不是同一份合同，合同编号不一样</t>
    </r>
  </si>
  <si>
    <r>
      <rPr>
        <sz val="10"/>
        <color theme="1"/>
        <rFont val="Arial Narrow"/>
        <charset val="134"/>
      </rPr>
      <t>2020.2</t>
    </r>
    <r>
      <rPr>
        <sz val="10"/>
        <color theme="1"/>
        <rFont val="宋体"/>
        <charset val="134"/>
      </rPr>
      <t>服务费</t>
    </r>
  </si>
  <si>
    <r>
      <rPr>
        <sz val="10"/>
        <color theme="1"/>
        <rFont val="Arial Narrow"/>
        <charset val="134"/>
      </rPr>
      <t>2020.4</t>
    </r>
    <r>
      <rPr>
        <sz val="10"/>
        <color theme="1"/>
        <rFont val="宋体"/>
        <charset val="134"/>
      </rPr>
      <t>服务费</t>
    </r>
  </si>
  <si>
    <t>2020.8.11</t>
  </si>
  <si>
    <r>
      <rPr>
        <sz val="10"/>
        <color theme="1"/>
        <rFont val="Arial Narrow"/>
        <charset val="134"/>
      </rPr>
      <t>2020.7服务费</t>
    </r>
  </si>
  <si>
    <r>
      <rPr>
        <sz val="10"/>
        <color theme="1"/>
        <rFont val="Arial Narrow"/>
        <charset val="134"/>
      </rPr>
      <t>2020.7</t>
    </r>
    <r>
      <rPr>
        <sz val="10"/>
        <color theme="1"/>
        <rFont val="宋体"/>
        <charset val="134"/>
      </rPr>
      <t>服务费</t>
    </r>
  </si>
  <si>
    <t>2020.9.9</t>
  </si>
  <si>
    <r>
      <rPr>
        <sz val="10"/>
        <color theme="1"/>
        <rFont val="Arial Narrow"/>
        <charset val="134"/>
      </rPr>
      <t>2020.8服务费</t>
    </r>
  </si>
  <si>
    <t>2020.10.15</t>
  </si>
  <si>
    <r>
      <rPr>
        <sz val="10"/>
        <color theme="1"/>
        <rFont val="Arial Narrow"/>
        <charset val="134"/>
      </rPr>
      <t>2020.9服务费</t>
    </r>
  </si>
  <si>
    <r>
      <rPr>
        <sz val="10"/>
        <color theme="1"/>
        <rFont val="Arial Narrow"/>
        <charset val="134"/>
      </rPr>
      <t>2020.10服务费</t>
    </r>
  </si>
  <si>
    <r>
      <rPr>
        <sz val="10"/>
        <color theme="1"/>
        <rFont val="Arial Narrow"/>
        <charset val="134"/>
      </rPr>
      <t>2020.11服务费</t>
    </r>
  </si>
  <si>
    <r>
      <rPr>
        <sz val="10"/>
        <color theme="1"/>
        <rFont val="Arial Narrow"/>
        <charset val="134"/>
      </rPr>
      <t>2020.12服务费</t>
    </r>
  </si>
  <si>
    <t>2021.2.22</t>
  </si>
  <si>
    <t>2021.2.26</t>
  </si>
  <si>
    <t>2021.3.17</t>
  </si>
  <si>
    <t>2021.6.7</t>
  </si>
  <si>
    <r>
      <rPr>
        <sz val="10"/>
        <color theme="1"/>
        <rFont val="Arial Narrow"/>
        <charset val="134"/>
      </rPr>
      <t>2020.11.26</t>
    </r>
    <r>
      <rPr>
        <sz val="10"/>
        <color theme="1"/>
        <rFont val="宋体"/>
        <charset val="134"/>
      </rPr>
      <t>，</t>
    </r>
    <r>
      <rPr>
        <sz val="10"/>
        <color theme="1"/>
        <rFont val="Arial Narrow"/>
        <charset val="134"/>
      </rPr>
      <t>12</t>
    </r>
    <r>
      <rPr>
        <sz val="10"/>
        <color theme="1"/>
        <rFont val="宋体"/>
        <charset val="134"/>
      </rPr>
      <t>个月</t>
    </r>
  </si>
  <si>
    <t>2020.11.18</t>
  </si>
  <si>
    <r>
      <rPr>
        <sz val="10"/>
        <color theme="1"/>
        <rFont val="Arial Narrow"/>
        <charset val="134"/>
      </rPr>
      <t>2021.4.8</t>
    </r>
    <r>
      <rPr>
        <sz val="10"/>
        <color theme="1"/>
        <rFont val="宋体"/>
        <charset val="134"/>
      </rPr>
      <t>，</t>
    </r>
    <r>
      <rPr>
        <sz val="10"/>
        <color theme="1"/>
        <rFont val="Arial Narrow"/>
        <charset val="134"/>
      </rPr>
      <t>12</t>
    </r>
    <r>
      <rPr>
        <sz val="10"/>
        <color theme="1"/>
        <rFont val="宋体"/>
        <charset val="134"/>
      </rPr>
      <t>个月</t>
    </r>
  </si>
  <si>
    <t>2021.4.2</t>
  </si>
  <si>
    <t>2021.7.13</t>
  </si>
  <si>
    <r>
      <rPr>
        <sz val="10"/>
        <color theme="1"/>
        <rFont val="Arial Narrow"/>
        <charset val="134"/>
      </rPr>
      <t>2021.6.24</t>
    </r>
    <r>
      <rPr>
        <sz val="10"/>
        <color theme="1"/>
        <rFont val="宋体"/>
        <charset val="134"/>
      </rPr>
      <t>，</t>
    </r>
    <r>
      <rPr>
        <sz val="10"/>
        <color theme="1"/>
        <rFont val="Arial Narrow"/>
        <charset val="134"/>
      </rPr>
      <t>12</t>
    </r>
    <r>
      <rPr>
        <sz val="10"/>
        <color theme="1"/>
        <rFont val="宋体"/>
        <charset val="134"/>
      </rPr>
      <t>个月</t>
    </r>
  </si>
  <si>
    <t>2021.3.25</t>
  </si>
  <si>
    <t>2021.2.4</t>
  </si>
  <si>
    <t>2021.3.24</t>
  </si>
  <si>
    <t>2021.7.12</t>
  </si>
  <si>
    <t>2020.5.13</t>
  </si>
  <si>
    <t>无水单，不予支持</t>
  </si>
  <si>
    <r>
      <rPr>
        <sz val="10"/>
        <color theme="1"/>
        <rFont val="Arial Narrow"/>
        <charset val="134"/>
      </rPr>
      <t>2019.7.11</t>
    </r>
    <r>
      <rPr>
        <sz val="10"/>
        <color theme="1"/>
        <rFont val="宋体"/>
        <charset val="134"/>
      </rPr>
      <t>，</t>
    </r>
    <r>
      <rPr>
        <sz val="10"/>
        <color theme="1"/>
        <rFont val="Arial Narrow"/>
        <charset val="134"/>
      </rPr>
      <t>12</t>
    </r>
    <r>
      <rPr>
        <sz val="10"/>
        <color theme="1"/>
        <rFont val="宋体"/>
        <charset val="134"/>
      </rPr>
      <t>个月</t>
    </r>
  </si>
  <si>
    <t>2019.7.12</t>
  </si>
  <si>
    <t>2019.7.26</t>
  </si>
  <si>
    <r>
      <rPr>
        <sz val="10"/>
        <color theme="1"/>
        <rFont val="Arial Narrow"/>
        <charset val="134"/>
      </rPr>
      <t>2019.11-2020.4</t>
    </r>
    <r>
      <rPr>
        <sz val="10"/>
        <color theme="1"/>
        <rFont val="宋体"/>
        <charset val="134"/>
      </rPr>
      <t>服务费</t>
    </r>
  </si>
  <si>
    <t>2020.6.22</t>
  </si>
  <si>
    <t>2020.6.24</t>
  </si>
  <si>
    <r>
      <rPr>
        <sz val="10"/>
        <color theme="1"/>
        <rFont val="宋体"/>
        <charset val="134"/>
      </rPr>
      <t>？</t>
    </r>
  </si>
  <si>
    <t>2021.3.9</t>
  </si>
  <si>
    <t>2021.3.10</t>
  </si>
  <si>
    <r>
      <rPr>
        <sz val="10"/>
        <color theme="1"/>
        <rFont val="宋体"/>
        <charset val="134"/>
      </rPr>
      <t>公司网站建设费</t>
    </r>
  </si>
  <si>
    <t>2021.8.23</t>
  </si>
  <si>
    <t>2021.8.18</t>
  </si>
  <si>
    <r>
      <rPr>
        <sz val="10"/>
        <color theme="1"/>
        <rFont val="宋体"/>
        <charset val="134"/>
      </rPr>
      <t>网页设计费</t>
    </r>
  </si>
  <si>
    <r>
      <rPr>
        <sz val="10"/>
        <color theme="1"/>
        <rFont val="宋体"/>
        <charset val="134"/>
      </rPr>
      <t>网站域名解析费</t>
    </r>
  </si>
  <si>
    <t>2021.4.7-2022.4.6</t>
  </si>
  <si>
    <t>企业管理系统研发经费</t>
  </si>
  <si>
    <t>2020.10.20</t>
  </si>
  <si>
    <r>
      <rPr>
        <sz val="10"/>
        <color theme="1"/>
        <rFont val="Arial Narrow"/>
        <charset val="134"/>
      </rPr>
      <t>2020.11.1</t>
    </r>
    <r>
      <rPr>
        <sz val="10"/>
        <color theme="1"/>
        <rFont val="宋体"/>
        <charset val="134"/>
      </rPr>
      <t>前完成</t>
    </r>
  </si>
  <si>
    <t>电子商务平台系统集成服务费</t>
  </si>
  <si>
    <t>2020.12.4</t>
  </si>
  <si>
    <r>
      <rPr>
        <sz val="10"/>
        <color theme="1"/>
        <rFont val="宋体"/>
        <charset val="134"/>
      </rPr>
      <t>收到款项后</t>
    </r>
    <r>
      <rPr>
        <sz val="10"/>
        <color theme="1"/>
        <rFont val="Arial Narrow"/>
        <charset val="134"/>
      </rPr>
      <t>10</t>
    </r>
    <r>
      <rPr>
        <sz val="10"/>
        <color theme="1"/>
        <rFont val="宋体"/>
        <charset val="134"/>
      </rPr>
      <t>个工作日完成</t>
    </r>
  </si>
  <si>
    <t>进出口许可证及招投标系统技术服务费</t>
  </si>
  <si>
    <t>2020.12.11-2021.12.11</t>
  </si>
  <si>
    <t>2020.12.10</t>
  </si>
  <si>
    <r>
      <rPr>
        <sz val="10"/>
        <color theme="1"/>
        <rFont val="Arial Narrow"/>
        <charset val="134"/>
      </rPr>
      <t>2020.12.2,12</t>
    </r>
    <r>
      <rPr>
        <sz val="10"/>
        <color theme="1"/>
        <rFont val="宋体"/>
        <charset val="134"/>
      </rPr>
      <t>个月</t>
    </r>
  </si>
  <si>
    <r>
      <rPr>
        <sz val="10"/>
        <color theme="1"/>
        <rFont val="宋体"/>
        <charset val="134"/>
      </rPr>
      <t>网络专线费（天津广播电视网络公司）</t>
    </r>
  </si>
  <si>
    <t>2020.7.23</t>
  </si>
  <si>
    <t>2020.7.28</t>
  </si>
  <si>
    <r>
      <rPr>
        <sz val="10"/>
        <color theme="1"/>
        <rFont val="宋体"/>
        <charset val="134"/>
      </rPr>
      <t>网络交换机（京东）</t>
    </r>
  </si>
  <si>
    <t>只有发票，不予支持</t>
  </si>
  <si>
    <r>
      <rPr>
        <sz val="10"/>
        <color theme="1"/>
        <rFont val="宋体"/>
        <charset val="134"/>
      </rPr>
      <t>路由器（济南臻联信息技术有限公司）</t>
    </r>
  </si>
  <si>
    <t>2020.5.11</t>
  </si>
  <si>
    <r>
      <rPr>
        <sz val="10"/>
        <color theme="1"/>
        <rFont val="宋体"/>
        <charset val="134"/>
      </rPr>
      <t>网线（京东）</t>
    </r>
  </si>
  <si>
    <r>
      <rPr>
        <sz val="10"/>
        <color theme="1"/>
        <rFont val="宋体"/>
        <charset val="134"/>
      </rPr>
      <t>联通光猫及光纤安装调试费（联通）</t>
    </r>
  </si>
  <si>
    <r>
      <rPr>
        <sz val="10"/>
        <color theme="1"/>
        <rFont val="宋体"/>
        <charset val="134"/>
      </rPr>
      <t>直播设备（云台）（上海衡缘实业公司）</t>
    </r>
  </si>
  <si>
    <t>2020.5.15</t>
  </si>
  <si>
    <r>
      <rPr>
        <sz val="10"/>
        <color theme="1"/>
        <rFont val="宋体"/>
        <charset val="134"/>
      </rPr>
      <t>直播设备（手机支架）（深圳金万兆公司）</t>
    </r>
  </si>
  <si>
    <t>2020.5.23</t>
  </si>
  <si>
    <r>
      <rPr>
        <sz val="10"/>
        <color theme="1"/>
        <rFont val="Arial Narrow"/>
        <charset val="134"/>
      </rPr>
      <t>2020.4.19</t>
    </r>
    <r>
      <rPr>
        <sz val="10"/>
        <color theme="1"/>
        <rFont val="宋体"/>
        <charset val="134"/>
      </rPr>
      <t>，</t>
    </r>
    <r>
      <rPr>
        <sz val="10"/>
        <color theme="1"/>
        <rFont val="Arial Narrow"/>
        <charset val="134"/>
      </rPr>
      <t>12</t>
    </r>
    <r>
      <rPr>
        <sz val="10"/>
        <color theme="1"/>
        <rFont val="宋体"/>
        <charset val="134"/>
      </rPr>
      <t>个月</t>
    </r>
  </si>
  <si>
    <t>没有发票，不予支持，不影响上限</t>
  </si>
  <si>
    <r>
      <rPr>
        <sz val="10"/>
        <color theme="1"/>
        <rFont val="Arial Narrow"/>
        <charset val="134"/>
      </rPr>
      <t>2020.12.1</t>
    </r>
    <r>
      <rPr>
        <sz val="10"/>
        <color theme="1"/>
        <rFont val="宋体"/>
        <charset val="134"/>
      </rPr>
      <t>，</t>
    </r>
    <r>
      <rPr>
        <sz val="10"/>
        <color theme="1"/>
        <rFont val="Arial Narrow"/>
        <charset val="134"/>
      </rPr>
      <t>24</t>
    </r>
    <r>
      <rPr>
        <sz val="10"/>
        <color theme="1"/>
        <rFont val="宋体"/>
        <charset val="134"/>
      </rPr>
      <t>个月</t>
    </r>
  </si>
  <si>
    <t>2020.1.13</t>
  </si>
  <si>
    <t>2020.1.14</t>
  </si>
  <si>
    <t>2020.1.9</t>
  </si>
  <si>
    <r>
      <rPr>
        <sz val="10"/>
        <color theme="1"/>
        <rFont val="Arial Narrow"/>
        <charset val="134"/>
      </rPr>
      <t>2019.12</t>
    </r>
    <r>
      <rPr>
        <sz val="10"/>
        <color theme="1"/>
        <rFont val="宋体"/>
        <charset val="134"/>
      </rPr>
      <t>服务费</t>
    </r>
  </si>
  <si>
    <t>2020.3.11</t>
  </si>
  <si>
    <t>2020.1.15</t>
  </si>
  <si>
    <t>2020.4.19</t>
  </si>
  <si>
    <t>2020.3.16</t>
  </si>
  <si>
    <t>2020.9.1</t>
  </si>
  <si>
    <t>2020.10.19</t>
  </si>
  <si>
    <r>
      <rPr>
        <sz val="10"/>
        <color theme="1"/>
        <rFont val="Arial Narrow"/>
        <charset val="134"/>
      </rPr>
      <t>2021.4</t>
    </r>
    <r>
      <rPr>
        <sz val="10"/>
        <color theme="1"/>
        <rFont val="宋体"/>
        <charset val="134"/>
      </rPr>
      <t>.</t>
    </r>
    <r>
      <rPr>
        <sz val="10"/>
        <color theme="1"/>
        <rFont val="Arial Narrow"/>
        <charset val="134"/>
      </rPr>
      <t>7</t>
    </r>
  </si>
  <si>
    <r>
      <rPr>
        <sz val="10"/>
        <color theme="1"/>
        <rFont val="Arial Narrow"/>
        <charset val="134"/>
      </rPr>
      <t>2020.8</t>
    </r>
    <r>
      <rPr>
        <sz val="10"/>
        <color theme="1"/>
        <rFont val="宋体"/>
        <charset val="134"/>
      </rPr>
      <t>服务费</t>
    </r>
  </si>
  <si>
    <r>
      <rPr>
        <sz val="10"/>
        <color theme="1"/>
        <rFont val="Arial Narrow"/>
        <charset val="134"/>
      </rPr>
      <t>2020.9</t>
    </r>
    <r>
      <rPr>
        <sz val="10"/>
        <color theme="1"/>
        <rFont val="宋体"/>
        <charset val="134"/>
      </rPr>
      <t>服务费</t>
    </r>
  </si>
  <si>
    <r>
      <rPr>
        <sz val="10"/>
        <color theme="1"/>
        <rFont val="Arial Narrow"/>
        <charset val="134"/>
      </rPr>
      <t>2020.10</t>
    </r>
    <r>
      <rPr>
        <sz val="10"/>
        <color theme="1"/>
        <rFont val="宋体"/>
        <charset val="134"/>
      </rPr>
      <t>服务费</t>
    </r>
  </si>
  <si>
    <t>2020.12.8</t>
  </si>
  <si>
    <r>
      <rPr>
        <sz val="10"/>
        <color theme="1"/>
        <rFont val="Arial Narrow"/>
        <charset val="134"/>
      </rPr>
      <t>2020.3.25</t>
    </r>
    <r>
      <rPr>
        <sz val="10"/>
        <color theme="1"/>
        <rFont val="宋体"/>
        <charset val="134"/>
      </rPr>
      <t>，</t>
    </r>
    <r>
      <rPr>
        <sz val="10"/>
        <color theme="1"/>
        <rFont val="Arial Narrow"/>
        <charset val="134"/>
      </rPr>
      <t>12</t>
    </r>
    <r>
      <rPr>
        <sz val="10"/>
        <color theme="1"/>
        <rFont val="宋体"/>
        <charset val="134"/>
      </rPr>
      <t>个月</t>
    </r>
  </si>
  <si>
    <t>2020.4.7</t>
  </si>
  <si>
    <r>
      <rPr>
        <sz val="10"/>
        <color theme="1"/>
        <rFont val="Arial Narrow"/>
        <charset val="134"/>
      </rPr>
      <t>2021.4.7</t>
    </r>
    <r>
      <rPr>
        <sz val="10"/>
        <color theme="1"/>
        <rFont val="宋体"/>
        <charset val="134"/>
      </rPr>
      <t>，</t>
    </r>
    <r>
      <rPr>
        <sz val="10"/>
        <color theme="1"/>
        <rFont val="Arial Narrow"/>
        <charset val="134"/>
      </rPr>
      <t>12</t>
    </r>
    <r>
      <rPr>
        <sz val="10"/>
        <color theme="1"/>
        <rFont val="宋体"/>
        <charset val="134"/>
      </rPr>
      <t>个月</t>
    </r>
  </si>
  <si>
    <t>2021.4.6</t>
  </si>
  <si>
    <t>2020.2.14</t>
  </si>
  <si>
    <t>2020.2.16</t>
  </si>
  <si>
    <t>2020.3.25</t>
  </si>
  <si>
    <t>2020.3.17</t>
  </si>
  <si>
    <t>2020.8.17</t>
  </si>
  <si>
    <t>2020.8.18</t>
  </si>
  <si>
    <t>2020.5.6</t>
  </si>
  <si>
    <t>2020.11.3</t>
  </si>
  <si>
    <t>2020.5.22</t>
  </si>
  <si>
    <t>2021.1.20</t>
  </si>
  <si>
    <t>2020.6.8</t>
  </si>
  <si>
    <t>2021.3.15</t>
  </si>
  <si>
    <t>2021.3.16</t>
  </si>
  <si>
    <t>2020.7.17</t>
  </si>
  <si>
    <t>2021.4.7</t>
  </si>
  <si>
    <t>2020.10.21</t>
  </si>
  <si>
    <t>2021.2.20</t>
  </si>
  <si>
    <t>2021.3.30</t>
  </si>
  <si>
    <r>
      <rPr>
        <sz val="10"/>
        <color theme="1"/>
        <rFont val="Arial Narrow"/>
        <charset val="134"/>
      </rPr>
      <t>2021.2服务费</t>
    </r>
  </si>
  <si>
    <r>
      <rPr>
        <sz val="10"/>
        <color theme="1"/>
        <rFont val="Arial Narrow"/>
        <charset val="134"/>
      </rPr>
      <t>2021.3服务费</t>
    </r>
  </si>
  <si>
    <r>
      <rPr>
        <sz val="10"/>
        <color theme="1"/>
        <rFont val="Arial Narrow"/>
        <charset val="134"/>
      </rPr>
      <t>Amazon US/EU/SG</t>
    </r>
    <r>
      <rPr>
        <sz val="10"/>
        <color theme="1"/>
        <rFont val="宋体"/>
        <charset val="134"/>
      </rPr>
      <t>线上代运营费用</t>
    </r>
  </si>
  <si>
    <t>2019.10.15-2020.10.14</t>
  </si>
  <si>
    <r>
      <rPr>
        <sz val="10"/>
        <color theme="1"/>
        <rFont val="Arial Narrow"/>
        <charset val="134"/>
      </rPr>
      <t>3</t>
    </r>
    <r>
      <rPr>
        <sz val="10"/>
        <color theme="1"/>
        <rFont val="宋体"/>
        <charset val="134"/>
      </rPr>
      <t>万</t>
    </r>
    <r>
      <rPr>
        <sz val="10"/>
        <color theme="1"/>
        <rFont val="Arial Narrow"/>
        <charset val="134"/>
      </rPr>
      <t>/</t>
    </r>
    <r>
      <rPr>
        <sz val="10"/>
        <color theme="1"/>
        <rFont val="宋体"/>
        <charset val="134"/>
      </rPr>
      <t>月</t>
    </r>
    <r>
      <rPr>
        <sz val="10"/>
        <color theme="1"/>
        <rFont val="Arial Narrow"/>
        <charset val="134"/>
      </rPr>
      <t>+</t>
    </r>
    <r>
      <rPr>
        <sz val="10"/>
        <color theme="1"/>
        <rFont val="宋体"/>
        <charset val="134"/>
      </rPr>
      <t>销售额</t>
    </r>
    <r>
      <rPr>
        <sz val="10"/>
        <color theme="1"/>
        <rFont val="Arial Narrow"/>
        <charset val="134"/>
      </rPr>
      <t>*15%</t>
    </r>
  </si>
  <si>
    <t>2020.12.16</t>
  </si>
  <si>
    <r>
      <rPr>
        <sz val="10"/>
        <color theme="1"/>
        <rFont val="Arial Narrow"/>
        <charset val="134"/>
      </rPr>
      <t>20</t>
    </r>
    <r>
      <rPr>
        <sz val="10"/>
        <color theme="1"/>
        <rFont val="宋体"/>
        <charset val="134"/>
      </rPr>
      <t>年</t>
    </r>
    <r>
      <rPr>
        <sz val="10"/>
        <color theme="1"/>
        <rFont val="Arial Narrow"/>
        <charset val="134"/>
      </rPr>
      <t>12</t>
    </r>
    <r>
      <rPr>
        <sz val="10"/>
        <color theme="1"/>
        <rFont val="宋体"/>
        <charset val="134"/>
      </rPr>
      <t>月份服务费</t>
    </r>
  </si>
  <si>
    <t>2020.10.14-2021.10.14</t>
  </si>
  <si>
    <t>2020.11.13</t>
  </si>
  <si>
    <r>
      <rPr>
        <sz val="10"/>
        <color theme="1"/>
        <rFont val="Arial Narrow"/>
        <charset val="134"/>
      </rPr>
      <t>20</t>
    </r>
    <r>
      <rPr>
        <sz val="10"/>
        <color theme="1"/>
        <rFont val="宋体"/>
        <charset val="134"/>
      </rPr>
      <t>年</t>
    </r>
    <r>
      <rPr>
        <sz val="10"/>
        <color theme="1"/>
        <rFont val="Arial Narrow"/>
        <charset val="134"/>
      </rPr>
      <t>11</t>
    </r>
    <r>
      <rPr>
        <sz val="10"/>
        <color theme="1"/>
        <rFont val="宋体"/>
        <charset val="134"/>
      </rPr>
      <t>月份服务费</t>
    </r>
  </si>
  <si>
    <t>2020.10.14</t>
  </si>
  <si>
    <t>2020.10.16</t>
  </si>
  <si>
    <r>
      <rPr>
        <sz val="10"/>
        <color theme="1"/>
        <rFont val="Arial Narrow"/>
        <charset val="134"/>
      </rPr>
      <t>20</t>
    </r>
    <r>
      <rPr>
        <sz val="10"/>
        <color theme="1"/>
        <rFont val="宋体"/>
        <charset val="134"/>
      </rPr>
      <t>年</t>
    </r>
    <r>
      <rPr>
        <sz val="10"/>
        <color theme="1"/>
        <rFont val="Arial Narrow"/>
        <charset val="134"/>
      </rPr>
      <t>10月份服务费</t>
    </r>
  </si>
  <si>
    <t>2020.9.8</t>
  </si>
  <si>
    <t>2020.9.27</t>
  </si>
  <si>
    <r>
      <rPr>
        <sz val="10"/>
        <color theme="1"/>
        <rFont val="Arial Narrow"/>
        <charset val="134"/>
      </rPr>
      <t>20</t>
    </r>
    <r>
      <rPr>
        <sz val="10"/>
        <color theme="1"/>
        <rFont val="宋体"/>
        <charset val="134"/>
      </rPr>
      <t>年</t>
    </r>
    <r>
      <rPr>
        <sz val="10"/>
        <color theme="1"/>
        <rFont val="Arial Narrow"/>
        <charset val="134"/>
      </rPr>
      <t>9月份服务费</t>
    </r>
  </si>
  <si>
    <t>2020.8.12</t>
  </si>
  <si>
    <t>2020.8.28</t>
  </si>
  <si>
    <r>
      <rPr>
        <sz val="10"/>
        <color theme="1"/>
        <rFont val="Arial Narrow"/>
        <charset val="134"/>
      </rPr>
      <t>20</t>
    </r>
    <r>
      <rPr>
        <sz val="10"/>
        <color theme="1"/>
        <rFont val="宋体"/>
        <charset val="134"/>
      </rPr>
      <t>年</t>
    </r>
    <r>
      <rPr>
        <sz val="10"/>
        <color theme="1"/>
        <rFont val="Arial Narrow"/>
        <charset val="134"/>
      </rPr>
      <t>8月份服务费</t>
    </r>
  </si>
  <si>
    <t>2020.7.9</t>
  </si>
  <si>
    <t>2020.7.13</t>
  </si>
  <si>
    <r>
      <rPr>
        <sz val="10"/>
        <color theme="1"/>
        <rFont val="Arial Narrow"/>
        <charset val="134"/>
      </rPr>
      <t>20</t>
    </r>
    <r>
      <rPr>
        <sz val="10"/>
        <color theme="1"/>
        <rFont val="宋体"/>
        <charset val="134"/>
      </rPr>
      <t>年</t>
    </r>
    <r>
      <rPr>
        <sz val="10"/>
        <color theme="1"/>
        <rFont val="Arial Narrow"/>
        <charset val="134"/>
      </rPr>
      <t>7月份服务费</t>
    </r>
  </si>
  <si>
    <t>2020.6.12</t>
  </si>
  <si>
    <t>2020.6.18</t>
  </si>
  <si>
    <r>
      <rPr>
        <sz val="10"/>
        <color theme="1"/>
        <rFont val="Arial Narrow"/>
        <charset val="134"/>
      </rPr>
      <t>20</t>
    </r>
    <r>
      <rPr>
        <sz val="10"/>
        <color theme="1"/>
        <rFont val="宋体"/>
        <charset val="134"/>
      </rPr>
      <t>年</t>
    </r>
    <r>
      <rPr>
        <sz val="10"/>
        <color theme="1"/>
        <rFont val="Arial Narrow"/>
        <charset val="134"/>
      </rPr>
      <t>6月份服务费</t>
    </r>
  </si>
  <si>
    <r>
      <rPr>
        <sz val="10"/>
        <color theme="1"/>
        <rFont val="Arial Narrow"/>
        <charset val="134"/>
      </rPr>
      <t>20</t>
    </r>
    <r>
      <rPr>
        <sz val="10"/>
        <color theme="1"/>
        <rFont val="宋体"/>
        <charset val="134"/>
      </rPr>
      <t>年</t>
    </r>
    <r>
      <rPr>
        <sz val="10"/>
        <color theme="1"/>
        <rFont val="Arial Narrow"/>
        <charset val="134"/>
      </rPr>
      <t>5月份服务费</t>
    </r>
  </si>
  <si>
    <t>2020.4.13</t>
  </si>
  <si>
    <t>2020.4.27</t>
  </si>
  <si>
    <r>
      <rPr>
        <sz val="10"/>
        <color theme="1"/>
        <rFont val="Arial Narrow"/>
        <charset val="134"/>
      </rPr>
      <t>20</t>
    </r>
    <r>
      <rPr>
        <sz val="10"/>
        <color theme="1"/>
        <rFont val="宋体"/>
        <charset val="134"/>
      </rPr>
      <t>年</t>
    </r>
    <r>
      <rPr>
        <sz val="10"/>
        <color theme="1"/>
        <rFont val="Arial Narrow"/>
        <charset val="134"/>
      </rPr>
      <t>4月份服务费</t>
    </r>
  </si>
  <si>
    <r>
      <rPr>
        <sz val="10"/>
        <color theme="1"/>
        <rFont val="Arial Narrow"/>
        <charset val="134"/>
      </rPr>
      <t>20</t>
    </r>
    <r>
      <rPr>
        <sz val="10"/>
        <color theme="1"/>
        <rFont val="宋体"/>
        <charset val="134"/>
      </rPr>
      <t>年</t>
    </r>
    <r>
      <rPr>
        <sz val="10"/>
        <color theme="1"/>
        <rFont val="Arial Narrow"/>
        <charset val="134"/>
      </rPr>
      <t>3月份服务费</t>
    </r>
  </si>
  <si>
    <t>2020.2.24</t>
  </si>
  <si>
    <r>
      <rPr>
        <sz val="10"/>
        <color theme="1"/>
        <rFont val="Arial Narrow"/>
        <charset val="134"/>
      </rPr>
      <t>20</t>
    </r>
    <r>
      <rPr>
        <sz val="10"/>
        <color theme="1"/>
        <rFont val="宋体"/>
        <charset val="134"/>
      </rPr>
      <t>年</t>
    </r>
    <r>
      <rPr>
        <sz val="10"/>
        <color theme="1"/>
        <rFont val="Arial Narrow"/>
        <charset val="134"/>
      </rPr>
      <t>2月份服务费</t>
    </r>
  </si>
  <si>
    <t>2020.1.17</t>
  </si>
  <si>
    <t>2020.1.18</t>
  </si>
  <si>
    <r>
      <rPr>
        <sz val="10"/>
        <color theme="1"/>
        <rFont val="Arial Narrow"/>
        <charset val="134"/>
      </rPr>
      <t>20</t>
    </r>
    <r>
      <rPr>
        <sz val="10"/>
        <color theme="1"/>
        <rFont val="宋体"/>
        <charset val="134"/>
      </rPr>
      <t>年</t>
    </r>
    <r>
      <rPr>
        <sz val="10"/>
        <color theme="1"/>
        <rFont val="Arial Narrow"/>
        <charset val="134"/>
      </rPr>
      <t>1月份服务费</t>
    </r>
  </si>
  <si>
    <r>
      <rPr>
        <sz val="10"/>
        <color theme="1"/>
        <rFont val="Arial Narrow"/>
        <charset val="134"/>
      </rPr>
      <t>21</t>
    </r>
    <r>
      <rPr>
        <sz val="10"/>
        <color theme="1"/>
        <rFont val="宋体"/>
        <charset val="134"/>
      </rPr>
      <t>年</t>
    </r>
    <r>
      <rPr>
        <sz val="10"/>
        <color theme="1"/>
        <rFont val="Arial Narrow"/>
        <charset val="134"/>
      </rPr>
      <t>4</t>
    </r>
    <r>
      <rPr>
        <sz val="10"/>
        <color theme="1"/>
        <rFont val="宋体"/>
        <charset val="134"/>
      </rPr>
      <t>月份服务费</t>
    </r>
  </si>
  <si>
    <t>2021.6.10</t>
  </si>
  <si>
    <t>2021.6.17/29</t>
  </si>
  <si>
    <r>
      <rPr>
        <sz val="10"/>
        <color theme="1"/>
        <rFont val="Arial Narrow"/>
        <charset val="134"/>
      </rPr>
      <t>21</t>
    </r>
    <r>
      <rPr>
        <sz val="10"/>
        <color theme="1"/>
        <rFont val="宋体"/>
        <charset val="134"/>
      </rPr>
      <t>年</t>
    </r>
    <r>
      <rPr>
        <sz val="10"/>
        <color theme="1"/>
        <rFont val="Arial Narrow"/>
        <charset val="134"/>
      </rPr>
      <t>6</t>
    </r>
    <r>
      <rPr>
        <sz val="10"/>
        <color theme="1"/>
        <rFont val="宋体"/>
        <charset val="134"/>
      </rPr>
      <t>月份服务费</t>
    </r>
  </si>
  <si>
    <r>
      <rPr>
        <sz val="10"/>
        <color theme="1"/>
        <rFont val="Arial Narrow"/>
        <charset val="134"/>
      </rPr>
      <t>21</t>
    </r>
    <r>
      <rPr>
        <sz val="10"/>
        <color theme="1"/>
        <rFont val="宋体"/>
        <charset val="134"/>
      </rPr>
      <t>年</t>
    </r>
    <r>
      <rPr>
        <sz val="10"/>
        <color theme="1"/>
        <rFont val="Arial Narrow"/>
        <charset val="134"/>
      </rPr>
      <t>5</t>
    </r>
    <r>
      <rPr>
        <sz val="10"/>
        <color theme="1"/>
        <rFont val="宋体"/>
        <charset val="134"/>
      </rPr>
      <t>月份服务费，无水单，不予支持，不影响上限</t>
    </r>
  </si>
  <si>
    <r>
      <rPr>
        <sz val="10"/>
        <color theme="1"/>
        <rFont val="Arial Narrow"/>
        <charset val="134"/>
      </rPr>
      <t>21</t>
    </r>
    <r>
      <rPr>
        <sz val="10"/>
        <color theme="1"/>
        <rFont val="宋体"/>
        <charset val="134"/>
      </rPr>
      <t>年</t>
    </r>
    <r>
      <rPr>
        <sz val="10"/>
        <color theme="1"/>
        <rFont val="Arial Narrow"/>
        <charset val="134"/>
      </rPr>
      <t>3</t>
    </r>
    <r>
      <rPr>
        <sz val="10"/>
        <color theme="1"/>
        <rFont val="宋体"/>
        <charset val="134"/>
      </rPr>
      <t>月份服务费</t>
    </r>
  </si>
  <si>
    <t>2021.2.18</t>
  </si>
  <si>
    <r>
      <rPr>
        <sz val="10"/>
        <color theme="1"/>
        <rFont val="Arial Narrow"/>
        <charset val="134"/>
      </rPr>
      <t>21</t>
    </r>
    <r>
      <rPr>
        <sz val="10"/>
        <color theme="1"/>
        <rFont val="宋体"/>
        <charset val="134"/>
      </rPr>
      <t>年</t>
    </r>
    <r>
      <rPr>
        <sz val="10"/>
        <color theme="1"/>
        <rFont val="Arial Narrow"/>
        <charset val="134"/>
      </rPr>
      <t>2</t>
    </r>
    <r>
      <rPr>
        <sz val="10"/>
        <color theme="1"/>
        <rFont val="宋体"/>
        <charset val="134"/>
      </rPr>
      <t>月份服务费</t>
    </r>
  </si>
  <si>
    <t>2021.1.13</t>
  </si>
  <si>
    <r>
      <rPr>
        <sz val="10"/>
        <color theme="1"/>
        <rFont val="Arial Narrow"/>
        <charset val="134"/>
      </rPr>
      <t>21</t>
    </r>
    <r>
      <rPr>
        <sz val="10"/>
        <color theme="1"/>
        <rFont val="宋体"/>
        <charset val="134"/>
      </rPr>
      <t>年</t>
    </r>
    <r>
      <rPr>
        <sz val="10"/>
        <color theme="1"/>
        <rFont val="Arial Narrow"/>
        <charset val="134"/>
      </rPr>
      <t>1</t>
    </r>
    <r>
      <rPr>
        <sz val="10"/>
        <color theme="1"/>
        <rFont val="宋体"/>
        <charset val="134"/>
      </rPr>
      <t>月份服务费</t>
    </r>
  </si>
  <si>
    <r>
      <rPr>
        <sz val="10"/>
        <color theme="1"/>
        <rFont val="Arial Narrow"/>
        <charset val="134"/>
      </rPr>
      <t>Sublue</t>
    </r>
    <r>
      <rPr>
        <sz val="10"/>
        <color theme="1"/>
        <rFont val="宋体"/>
        <charset val="134"/>
      </rPr>
      <t>网站建设费（斯特利）</t>
    </r>
  </si>
  <si>
    <t>2020.12.3</t>
  </si>
  <si>
    <t>2021.2.23</t>
  </si>
  <si>
    <r>
      <rPr>
        <sz val="10"/>
        <color theme="1"/>
        <rFont val="Arial Narrow"/>
        <charset val="134"/>
      </rPr>
      <t>Shopify</t>
    </r>
    <r>
      <rPr>
        <sz val="10"/>
        <color theme="1"/>
        <rFont val="宋体"/>
        <charset val="134"/>
      </rPr>
      <t>代运营费（斯特利）</t>
    </r>
  </si>
  <si>
    <t>2020.12.3-2021.12.3</t>
  </si>
  <si>
    <r>
      <rPr>
        <sz val="10"/>
        <color theme="1"/>
        <rFont val="宋体"/>
        <charset val="134"/>
      </rPr>
      <t>销售额</t>
    </r>
    <r>
      <rPr>
        <sz val="10"/>
        <color theme="1"/>
        <rFont val="Arial Narrow"/>
        <charset val="134"/>
      </rPr>
      <t>*12%</t>
    </r>
  </si>
  <si>
    <t>2021.9.22</t>
  </si>
  <si>
    <t>2021.7.14</t>
  </si>
  <si>
    <r>
      <rPr>
        <sz val="10"/>
        <color theme="1"/>
        <rFont val="Arial Narrow"/>
        <charset val="134"/>
      </rPr>
      <t>21</t>
    </r>
    <r>
      <rPr>
        <sz val="10"/>
        <color theme="1"/>
        <rFont val="宋体"/>
        <charset val="134"/>
      </rPr>
      <t>年二季度代运营费及佣金</t>
    </r>
  </si>
  <si>
    <t>2021.9.2</t>
  </si>
  <si>
    <r>
      <rPr>
        <sz val="10"/>
        <color theme="1"/>
        <rFont val="Arial Narrow"/>
        <charset val="134"/>
      </rPr>
      <t>21</t>
    </r>
    <r>
      <rPr>
        <sz val="10"/>
        <color theme="1"/>
        <rFont val="宋体"/>
        <charset val="134"/>
      </rPr>
      <t>年一委度运营费</t>
    </r>
  </si>
  <si>
    <t>2021.2.3</t>
  </si>
  <si>
    <r>
      <rPr>
        <sz val="10"/>
        <color theme="1"/>
        <rFont val="Arial Narrow"/>
        <charset val="134"/>
      </rPr>
      <t>Sublue</t>
    </r>
    <r>
      <rPr>
        <sz val="10"/>
        <color theme="1"/>
        <rFont val="宋体"/>
        <charset val="134"/>
      </rPr>
      <t>海外运营费（昊海）</t>
    </r>
  </si>
  <si>
    <t>2019.12.31</t>
  </si>
  <si>
    <r>
      <rPr>
        <sz val="10"/>
        <color theme="1"/>
        <rFont val="Arial Narrow"/>
        <charset val="134"/>
      </rPr>
      <t>5</t>
    </r>
    <r>
      <rPr>
        <sz val="10"/>
        <color theme="1"/>
        <rFont val="宋体"/>
        <charset val="134"/>
      </rPr>
      <t>万</t>
    </r>
    <r>
      <rPr>
        <sz val="10"/>
        <color theme="1"/>
        <rFont val="Arial Narrow"/>
        <charset val="134"/>
      </rPr>
      <t>+</t>
    </r>
    <r>
      <rPr>
        <sz val="10"/>
        <color theme="1"/>
        <rFont val="宋体"/>
        <charset val="134"/>
      </rPr>
      <t>提成</t>
    </r>
  </si>
  <si>
    <t>2020.7.27</t>
  </si>
  <si>
    <r>
      <rPr>
        <sz val="10"/>
        <color theme="1"/>
        <rFont val="宋体"/>
        <charset val="134"/>
      </rPr>
      <t>海外众筹销售分成费</t>
    </r>
  </si>
  <si>
    <t>2020.1.10</t>
  </si>
  <si>
    <t>2020.4.20</t>
  </si>
  <si>
    <r>
      <rPr>
        <sz val="10"/>
        <color theme="1"/>
        <rFont val="宋体"/>
        <charset val="134"/>
      </rPr>
      <t>网络服务费</t>
    </r>
  </si>
  <si>
    <t>2020.12.28</t>
  </si>
  <si>
    <r>
      <rPr>
        <sz val="10"/>
        <color theme="1"/>
        <rFont val="宋体"/>
        <charset val="134"/>
      </rPr>
      <t>宣传片制作费（意腾宣）</t>
    </r>
  </si>
  <si>
    <t>2021.1.7</t>
  </si>
  <si>
    <r>
      <rPr>
        <sz val="10"/>
        <color theme="1"/>
        <rFont val="宋体"/>
        <charset val="134"/>
      </rPr>
      <t>设计服务费（凤苗）</t>
    </r>
  </si>
  <si>
    <t>2021.1.22</t>
  </si>
  <si>
    <t>2021.1.31</t>
  </si>
  <si>
    <r>
      <rPr>
        <sz val="10"/>
        <color theme="1"/>
        <rFont val="宋体"/>
        <charset val="134"/>
      </rPr>
      <t>软件服务费（美赞拓）</t>
    </r>
  </si>
  <si>
    <t>2019.8.19</t>
  </si>
  <si>
    <r>
      <rPr>
        <sz val="10"/>
        <color theme="1"/>
        <rFont val="宋体"/>
        <charset val="134"/>
      </rPr>
      <t>摄影制作（天澜瀚海）</t>
    </r>
  </si>
  <si>
    <t>2019.12.13</t>
  </si>
  <si>
    <r>
      <rPr>
        <sz val="10"/>
        <color theme="1"/>
        <rFont val="Arial Narrow"/>
        <charset val="134"/>
      </rPr>
      <t>2019.12.2</t>
    </r>
    <r>
      <rPr>
        <sz val="10"/>
        <color theme="1"/>
        <rFont val="宋体"/>
        <charset val="134"/>
      </rPr>
      <t>，</t>
    </r>
    <r>
      <rPr>
        <sz val="10"/>
        <color theme="1"/>
        <rFont val="Arial Narrow"/>
        <charset val="134"/>
      </rPr>
      <t>24</t>
    </r>
    <r>
      <rPr>
        <sz val="10"/>
        <color theme="1"/>
        <rFont val="宋体"/>
        <charset val="134"/>
      </rPr>
      <t>个月</t>
    </r>
  </si>
  <si>
    <t>2019.11.27</t>
  </si>
  <si>
    <r>
      <rPr>
        <sz val="10"/>
        <color theme="1"/>
        <rFont val="宋体"/>
        <charset val="134"/>
      </rPr>
      <t>官网域名、空间、邮箱服务费</t>
    </r>
  </si>
  <si>
    <t>2019.1.15-2020.1.14</t>
  </si>
  <si>
    <t>2019.11.21</t>
  </si>
  <si>
    <t>2019.11.18</t>
  </si>
  <si>
    <t>2020.1.15-2021.1.14</t>
  </si>
  <si>
    <t>2021.1.15-2022.1.14</t>
  </si>
  <si>
    <t>2021.11.15</t>
  </si>
  <si>
    <t>2021.11.16</t>
  </si>
  <si>
    <r>
      <rPr>
        <sz val="10"/>
        <color theme="1"/>
        <rFont val="宋体"/>
        <charset val="134"/>
      </rPr>
      <t>询盘云外贸营销方案服务费</t>
    </r>
  </si>
  <si>
    <r>
      <rPr>
        <sz val="10"/>
        <color theme="1"/>
        <rFont val="宋体"/>
        <charset val="134"/>
      </rPr>
      <t>无签订日期，有效期</t>
    </r>
    <r>
      <rPr>
        <sz val="10"/>
        <color theme="1"/>
        <rFont val="Arial Narrow"/>
        <charset val="134"/>
      </rPr>
      <t>2</t>
    </r>
    <r>
      <rPr>
        <sz val="10"/>
        <color theme="1"/>
        <rFont val="宋体"/>
        <charset val="134"/>
      </rPr>
      <t>年</t>
    </r>
  </si>
  <si>
    <r>
      <rPr>
        <sz val="10"/>
        <color theme="1"/>
        <rFont val="宋体"/>
        <charset val="134"/>
      </rPr>
      <t>补充协议</t>
    </r>
  </si>
  <si>
    <t>2021.3.31</t>
  </si>
  <si>
    <r>
      <rPr>
        <sz val="10"/>
        <color theme="1"/>
        <rFont val="宋体"/>
        <charset val="134"/>
      </rPr>
      <t>丝绸</t>
    </r>
    <r>
      <rPr>
        <sz val="10"/>
        <color theme="1"/>
        <rFont val="Arial Narrow"/>
        <charset val="134"/>
      </rPr>
      <t xml:space="preserve"> ERP</t>
    </r>
    <r>
      <rPr>
        <sz val="10"/>
        <color theme="1"/>
        <rFont val="宋体"/>
        <charset val="134"/>
      </rPr>
      <t>系统维护费</t>
    </r>
  </si>
  <si>
    <t>2020.4.1-2021.3.31</t>
  </si>
  <si>
    <t>2020.4.17</t>
  </si>
  <si>
    <t>公司系统维护费，不予支持</t>
  </si>
  <si>
    <r>
      <rPr>
        <sz val="10"/>
        <color theme="1"/>
        <rFont val="Arial Narrow"/>
        <charset val="134"/>
      </rPr>
      <t>2020.3.26</t>
    </r>
    <r>
      <rPr>
        <sz val="10"/>
        <color theme="1"/>
        <rFont val="宋体"/>
        <charset val="134"/>
      </rPr>
      <t>，</t>
    </r>
    <r>
      <rPr>
        <sz val="10"/>
        <color theme="1"/>
        <rFont val="Arial Narrow"/>
        <charset val="134"/>
      </rPr>
      <t>12</t>
    </r>
    <r>
      <rPr>
        <sz val="10"/>
        <color theme="1"/>
        <rFont val="宋体"/>
        <charset val="134"/>
      </rPr>
      <t>个月</t>
    </r>
  </si>
  <si>
    <t>2020.3.26</t>
  </si>
  <si>
    <r>
      <rPr>
        <sz val="10"/>
        <color theme="1"/>
        <rFont val="Arial Narrow"/>
        <charset val="134"/>
      </rPr>
      <t>2020.9.4</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</si>
  <si>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2020.12.2</t>
    </r>
    <r>
      <rPr>
        <sz val="10"/>
        <color theme="1"/>
        <rFont val="宋体"/>
        <charset val="134"/>
      </rPr>
      <t>，</t>
    </r>
    <r>
      <rPr>
        <sz val="10"/>
        <color theme="1"/>
        <rFont val="Arial Narrow"/>
        <charset val="134"/>
      </rPr>
      <t>12</t>
    </r>
    <r>
      <rPr>
        <sz val="10"/>
        <color theme="1"/>
        <rFont val="宋体"/>
        <charset val="134"/>
      </rPr>
      <t>个月</t>
    </r>
  </si>
  <si>
    <t>2022.8.3</t>
  </si>
  <si>
    <t>2022.8.4</t>
  </si>
  <si>
    <t>2020.11.2</t>
  </si>
  <si>
    <t>2021.2.1</t>
  </si>
  <si>
    <r>
      <rPr>
        <sz val="10"/>
        <color theme="1"/>
        <rFont val="Arial Narrow"/>
        <charset val="134"/>
      </rPr>
      <t>2020.7.24</t>
    </r>
    <r>
      <rPr>
        <sz val="10"/>
        <color theme="1"/>
        <rFont val="宋体"/>
        <charset val="134"/>
      </rPr>
      <t>，</t>
    </r>
    <r>
      <rPr>
        <sz val="10"/>
        <color theme="1"/>
        <rFont val="Arial Narrow"/>
        <charset val="134"/>
      </rPr>
      <t>12</t>
    </r>
    <r>
      <rPr>
        <sz val="10"/>
        <color theme="1"/>
        <rFont val="宋体"/>
        <charset val="134"/>
      </rPr>
      <t>个月</t>
    </r>
  </si>
  <si>
    <t>2020.8.4</t>
  </si>
  <si>
    <r>
      <rPr>
        <sz val="10"/>
        <color theme="1"/>
        <rFont val="Arial Narrow"/>
        <charset val="134"/>
      </rPr>
      <t>2020.7.20</t>
    </r>
    <r>
      <rPr>
        <sz val="10"/>
        <color theme="1"/>
        <rFont val="宋体"/>
        <charset val="134"/>
      </rPr>
      <t>，</t>
    </r>
    <r>
      <rPr>
        <sz val="10"/>
        <color theme="1"/>
        <rFont val="Arial Narrow"/>
        <charset val="134"/>
      </rPr>
      <t>12</t>
    </r>
    <r>
      <rPr>
        <sz val="10"/>
        <color theme="1"/>
        <rFont val="宋体"/>
        <charset val="134"/>
      </rPr>
      <t>个月</t>
    </r>
  </si>
  <si>
    <t>2020.7.20</t>
  </si>
  <si>
    <r>
      <rPr>
        <sz val="10"/>
        <color theme="1"/>
        <rFont val="宋体"/>
        <charset val="134"/>
      </rPr>
      <t>宜选网服务费</t>
    </r>
  </si>
  <si>
    <t>2020.6.3-2021.6.4</t>
  </si>
  <si>
    <r>
      <rPr>
        <sz val="10"/>
        <color theme="1"/>
        <rFont val="Arial Narrow"/>
        <charset val="134"/>
      </rPr>
      <t>2020.9.24</t>
    </r>
    <r>
      <rPr>
        <sz val="10"/>
        <color theme="1"/>
        <rFont val="宋体"/>
        <charset val="134"/>
      </rPr>
      <t>，</t>
    </r>
    <r>
      <rPr>
        <sz val="10"/>
        <color theme="1"/>
        <rFont val="Arial Narrow"/>
        <charset val="134"/>
      </rPr>
      <t>24</t>
    </r>
    <r>
      <rPr>
        <sz val="10"/>
        <color theme="1"/>
        <rFont val="宋体"/>
        <charset val="134"/>
      </rPr>
      <t>个月</t>
    </r>
  </si>
  <si>
    <t>2022.8.9</t>
  </si>
  <si>
    <t>无水单，放弃补贴</t>
  </si>
  <si>
    <r>
      <rPr>
        <sz val="10"/>
        <color theme="1"/>
        <rFont val="Arial Narrow"/>
        <charset val="134"/>
      </rPr>
      <t>2019.8.12</t>
    </r>
    <r>
      <rPr>
        <sz val="10"/>
        <color theme="1"/>
        <rFont val="宋体"/>
        <charset val="134"/>
      </rPr>
      <t>，</t>
    </r>
    <r>
      <rPr>
        <sz val="10"/>
        <color theme="1"/>
        <rFont val="Arial Narrow"/>
        <charset val="134"/>
      </rPr>
      <t>24</t>
    </r>
    <r>
      <rPr>
        <sz val="10"/>
        <color theme="1"/>
        <rFont val="宋体"/>
        <charset val="134"/>
      </rPr>
      <t>个月</t>
    </r>
  </si>
  <si>
    <t>2019.8.12</t>
  </si>
  <si>
    <t>2019.9.12</t>
  </si>
  <si>
    <r>
      <rPr>
        <sz val="10"/>
        <color theme="1"/>
        <rFont val="Arial Narrow"/>
        <charset val="134"/>
      </rPr>
      <t>2019.12.28</t>
    </r>
    <r>
      <rPr>
        <sz val="10"/>
        <color theme="1"/>
        <rFont val="宋体"/>
        <charset val="134"/>
      </rPr>
      <t>，</t>
    </r>
    <r>
      <rPr>
        <sz val="10"/>
        <color theme="1"/>
        <rFont val="Arial Narrow"/>
        <charset val="134"/>
      </rPr>
      <t>12</t>
    </r>
    <r>
      <rPr>
        <sz val="10"/>
        <color theme="1"/>
        <rFont val="宋体"/>
        <charset val="134"/>
      </rPr>
      <t>个月</t>
    </r>
  </si>
  <si>
    <t>2020.1.8</t>
  </si>
  <si>
    <t>2019.12.25</t>
  </si>
  <si>
    <t>2019.12.27</t>
  </si>
  <si>
    <t>2020.8.27</t>
  </si>
  <si>
    <t>2020.4.2</t>
  </si>
  <si>
    <t>2020.4.6</t>
  </si>
  <si>
    <t>2020.10.9</t>
  </si>
  <si>
    <t>2020.6.6</t>
  </si>
  <si>
    <t>2020.12.12</t>
  </si>
  <si>
    <t>2021.2.27</t>
  </si>
  <si>
    <t>2021.3.1</t>
  </si>
  <si>
    <t>2021.6.3</t>
  </si>
  <si>
    <r>
      <rPr>
        <sz val="10"/>
        <color theme="1"/>
        <rFont val="宋体"/>
        <charset val="134"/>
      </rPr>
      <t>商家会员平台费</t>
    </r>
  </si>
  <si>
    <r>
      <rPr>
        <sz val="10"/>
        <color theme="1"/>
        <rFont val="Arial Narrow"/>
        <charset val="134"/>
      </rPr>
      <t>2021.1.15</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</si>
  <si>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管理软件</t>
    </r>
  </si>
  <si>
    <t>2020.8.1</t>
  </si>
  <si>
    <t>2020.8.5</t>
  </si>
  <si>
    <t>2021.12.22</t>
  </si>
  <si>
    <r>
      <rPr>
        <sz val="10"/>
        <color theme="1"/>
        <rFont val="Arial Narrow"/>
        <charset val="134"/>
      </rPr>
      <t>2021.11</t>
    </r>
    <r>
      <rPr>
        <sz val="10"/>
        <color theme="1"/>
        <rFont val="宋体"/>
        <charset val="134"/>
      </rPr>
      <t>服务费</t>
    </r>
  </si>
  <si>
    <t>2020.9.3</t>
  </si>
  <si>
    <t>2020.10.10</t>
  </si>
  <si>
    <t>2020.9.25</t>
  </si>
  <si>
    <t>2020.11.21</t>
  </si>
  <si>
    <t>2020.11.23</t>
  </si>
  <si>
    <t>2021.2.5</t>
  </si>
  <si>
    <t>2020.12.20</t>
  </si>
  <si>
    <t>2020.11.17</t>
  </si>
  <si>
    <r>
      <rPr>
        <sz val="10"/>
        <color theme="1"/>
        <rFont val="Arial Narrow"/>
        <charset val="134"/>
      </rPr>
      <t>2020.5服务费</t>
    </r>
  </si>
  <si>
    <t>2020.7.8</t>
  </si>
  <si>
    <r>
      <rPr>
        <sz val="10"/>
        <color theme="1"/>
        <rFont val="Arial Narrow"/>
        <charset val="134"/>
      </rPr>
      <t>2020.9.25</t>
    </r>
    <r>
      <rPr>
        <sz val="10"/>
        <color theme="1"/>
        <rFont val="宋体"/>
        <charset val="134"/>
      </rPr>
      <t>，</t>
    </r>
    <r>
      <rPr>
        <sz val="10"/>
        <color theme="1"/>
        <rFont val="Arial Narrow"/>
        <charset val="134"/>
      </rPr>
      <t>24</t>
    </r>
    <r>
      <rPr>
        <sz val="10"/>
        <color theme="1"/>
        <rFont val="宋体"/>
        <charset val="134"/>
      </rPr>
      <t>个月</t>
    </r>
  </si>
  <si>
    <t>2020.9.29</t>
  </si>
  <si>
    <r>
      <rPr>
        <sz val="10"/>
        <color theme="1"/>
        <rFont val="Arial Narrow"/>
        <charset val="134"/>
      </rPr>
      <t>2020.12.29</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</si>
  <si>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购小满</t>
    </r>
    <r>
      <rPr>
        <sz val="10"/>
        <color theme="1"/>
        <rFont val="Arial Narrow"/>
        <charset val="134"/>
      </rPr>
      <t>SAAS</t>
    </r>
    <r>
      <rPr>
        <sz val="10"/>
        <color theme="1"/>
        <rFont val="宋体"/>
        <charset val="134"/>
      </rPr>
      <t>软件（阿里巴巴）</t>
    </r>
  </si>
  <si>
    <t>2020.12.31</t>
  </si>
  <si>
    <r>
      <rPr>
        <sz val="10"/>
        <color theme="1"/>
        <rFont val="Arial Narrow"/>
        <charset val="134"/>
      </rPr>
      <t>2019.7-2020.2</t>
    </r>
    <r>
      <rPr>
        <sz val="10"/>
        <color theme="1"/>
        <rFont val="宋体"/>
        <charset val="134"/>
      </rPr>
      <t>服务费</t>
    </r>
  </si>
  <si>
    <t>2020.7.24</t>
  </si>
  <si>
    <t>2020.8.7</t>
  </si>
  <si>
    <r>
      <rPr>
        <sz val="10"/>
        <color theme="1"/>
        <rFont val="Arial Narrow"/>
        <charset val="134"/>
      </rPr>
      <t>2020.3-2020.7</t>
    </r>
    <r>
      <rPr>
        <sz val="10"/>
        <color theme="1"/>
        <rFont val="宋体"/>
        <charset val="134"/>
      </rPr>
      <t>服务费</t>
    </r>
  </si>
  <si>
    <r>
      <rPr>
        <sz val="10"/>
        <color theme="1"/>
        <rFont val="Arial Narrow"/>
        <charset val="134"/>
      </rPr>
      <t>2020.8-2020.12</t>
    </r>
    <r>
      <rPr>
        <sz val="10"/>
        <color theme="1"/>
        <rFont val="宋体"/>
        <charset val="134"/>
      </rPr>
      <t>服务费，付款方为个人（许菊艳），不予支持，不影响上限</t>
    </r>
  </si>
  <si>
    <t>2021.3.3</t>
  </si>
  <si>
    <t>付款方为个人（许菊艳），不予支持，不影响上限</t>
  </si>
  <si>
    <r>
      <rPr>
        <sz val="10"/>
        <color theme="1"/>
        <rFont val="Arial Narrow"/>
        <charset val="134"/>
      </rPr>
      <t>2020.11</t>
    </r>
    <r>
      <rPr>
        <sz val="10"/>
        <color theme="1"/>
        <rFont val="宋体"/>
        <charset val="134"/>
      </rPr>
      <t>.</t>
    </r>
    <r>
      <rPr>
        <sz val="10"/>
        <color theme="1"/>
        <rFont val="Arial Narrow"/>
        <charset val="134"/>
      </rPr>
      <t>12</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</si>
  <si>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2020.10.26</t>
    </r>
    <r>
      <rPr>
        <sz val="10"/>
        <color theme="1"/>
        <rFont val="宋体"/>
        <charset val="134"/>
      </rPr>
      <t>，</t>
    </r>
    <r>
      <rPr>
        <sz val="10"/>
        <color theme="1"/>
        <rFont val="Arial Narrow"/>
        <charset val="134"/>
      </rPr>
      <t>12</t>
    </r>
    <r>
      <rPr>
        <sz val="10"/>
        <color theme="1"/>
        <rFont val="宋体"/>
        <charset val="134"/>
      </rPr>
      <t>个月</t>
    </r>
  </si>
  <si>
    <t>2020.10.27</t>
  </si>
  <si>
    <r>
      <rPr>
        <sz val="10"/>
        <color theme="1"/>
        <rFont val="Arial Narrow"/>
        <charset val="134"/>
      </rPr>
      <t>2021.4服务费</t>
    </r>
  </si>
  <si>
    <r>
      <rPr>
        <sz val="10"/>
        <color theme="1"/>
        <rFont val="Arial Narrow"/>
        <charset val="134"/>
      </rPr>
      <t>2021.5服务费</t>
    </r>
  </si>
  <si>
    <r>
      <rPr>
        <sz val="10"/>
        <color theme="1"/>
        <rFont val="Arial Narrow"/>
        <charset val="134"/>
      </rPr>
      <t>2021.6服务费</t>
    </r>
  </si>
  <si>
    <r>
      <rPr>
        <sz val="10"/>
        <color theme="1"/>
        <rFont val="宋体"/>
        <charset val="134"/>
      </rPr>
      <t>店铺装修设计费</t>
    </r>
  </si>
  <si>
    <t>代运营费</t>
  </si>
  <si>
    <r>
      <rPr>
        <sz val="10"/>
        <color theme="1"/>
        <rFont val="Arial Narrow"/>
        <charset val="134"/>
      </rPr>
      <t>2019.6.21</t>
    </r>
    <r>
      <rPr>
        <sz val="10"/>
        <color theme="1"/>
        <rFont val="宋体"/>
        <charset val="134"/>
      </rPr>
      <t>，</t>
    </r>
    <r>
      <rPr>
        <sz val="10"/>
        <color theme="1"/>
        <rFont val="Arial Narrow"/>
        <charset val="134"/>
      </rPr>
      <t>24</t>
    </r>
    <r>
      <rPr>
        <sz val="10"/>
        <color theme="1"/>
        <rFont val="宋体"/>
        <charset val="134"/>
      </rPr>
      <t>个月</t>
    </r>
  </si>
  <si>
    <t>2019.6.24</t>
  </si>
  <si>
    <t>2019.9.5</t>
  </si>
  <si>
    <t>2020.2.26</t>
  </si>
  <si>
    <r>
      <rPr>
        <sz val="10"/>
        <color theme="1"/>
        <rFont val="Arial Narrow"/>
        <charset val="134"/>
      </rPr>
      <t>2020.3服务费</t>
    </r>
  </si>
  <si>
    <r>
      <rPr>
        <sz val="10"/>
        <color theme="1"/>
        <rFont val="Arial Narrow"/>
        <charset val="134"/>
      </rPr>
      <t>2020.6服务费</t>
    </r>
  </si>
  <si>
    <t>2020.5.31</t>
  </si>
  <si>
    <t>2020.5.20</t>
  </si>
  <si>
    <r>
      <rPr>
        <sz val="10"/>
        <color theme="1"/>
        <rFont val="Arial Narrow"/>
        <charset val="134"/>
      </rPr>
      <t>2019.12.12</t>
    </r>
    <r>
      <rPr>
        <sz val="10"/>
        <color theme="1"/>
        <rFont val="宋体"/>
        <charset val="134"/>
      </rPr>
      <t>服务费</t>
    </r>
  </si>
  <si>
    <t>2021.2.19</t>
  </si>
  <si>
    <t>2020.11.9</t>
  </si>
  <si>
    <t>2020.12</t>
  </si>
  <si>
    <r>
      <rPr>
        <sz val="10"/>
        <color theme="1"/>
        <rFont val="Arial Narrow"/>
        <charset val="134"/>
      </rPr>
      <t>2020.12.11</t>
    </r>
    <r>
      <rPr>
        <sz val="10"/>
        <color theme="1"/>
        <rFont val="宋体"/>
        <charset val="134"/>
      </rPr>
      <t>，</t>
    </r>
    <r>
      <rPr>
        <sz val="10"/>
        <color theme="1"/>
        <rFont val="Arial Narrow"/>
        <charset val="134"/>
      </rPr>
      <t>12</t>
    </r>
    <r>
      <rPr>
        <sz val="10"/>
        <color theme="1"/>
        <rFont val="宋体"/>
        <charset val="134"/>
      </rPr>
      <t>个月</t>
    </r>
  </si>
  <si>
    <r>
      <rPr>
        <sz val="10"/>
        <color theme="1"/>
        <rFont val="宋体"/>
        <charset val="134"/>
      </rPr>
      <t>公司官网优化费</t>
    </r>
  </si>
  <si>
    <r>
      <rPr>
        <sz val="10"/>
        <color theme="1"/>
        <rFont val="Arial Narrow"/>
        <charset val="134"/>
      </rPr>
      <t>2020.11</t>
    </r>
    <r>
      <rPr>
        <sz val="10"/>
        <color theme="1"/>
        <rFont val="宋体"/>
        <charset val="134"/>
      </rPr>
      <t>.</t>
    </r>
    <r>
      <rPr>
        <sz val="10"/>
        <color theme="1"/>
        <rFont val="Arial Narrow"/>
        <charset val="134"/>
      </rPr>
      <t>16</t>
    </r>
  </si>
  <si>
    <r>
      <rPr>
        <sz val="10"/>
        <color theme="1"/>
        <rFont val="Arial Narrow"/>
        <charset val="134"/>
      </rPr>
      <t>2020.12</t>
    </r>
    <r>
      <rPr>
        <sz val="10"/>
        <color theme="1"/>
        <rFont val="宋体"/>
        <charset val="134"/>
      </rPr>
      <t>.</t>
    </r>
    <r>
      <rPr>
        <sz val="10"/>
        <color theme="1"/>
        <rFont val="Arial Narrow"/>
        <charset val="134"/>
      </rPr>
      <t>25</t>
    </r>
  </si>
  <si>
    <t>2021.11.11</t>
  </si>
  <si>
    <r>
      <rPr>
        <sz val="10"/>
        <color theme="1"/>
        <rFont val="宋体"/>
        <charset val="134"/>
      </rPr>
      <t>布克化工网站会员费</t>
    </r>
  </si>
  <si>
    <t>2020.8-2021.8</t>
  </si>
  <si>
    <r>
      <rPr>
        <sz val="10"/>
        <color theme="1"/>
        <rFont val="宋体"/>
        <charset val="134"/>
      </rPr>
      <t>布克化工网站海外会员费</t>
    </r>
  </si>
  <si>
    <r>
      <rPr>
        <sz val="10"/>
        <color theme="1"/>
        <rFont val="宋体"/>
        <charset val="134"/>
      </rPr>
      <t>公司官方手机站网络服务费</t>
    </r>
  </si>
  <si>
    <t>2021.11.12</t>
  </si>
  <si>
    <r>
      <rPr>
        <sz val="10"/>
        <color theme="1"/>
        <rFont val="宋体"/>
        <charset val="134"/>
      </rPr>
      <t>公司公众号网络服务费</t>
    </r>
  </si>
  <si>
    <r>
      <rPr>
        <sz val="10"/>
        <color theme="1"/>
        <rFont val="宋体"/>
        <charset val="134"/>
      </rPr>
      <t>阿里巴巴平台费</t>
    </r>
  </si>
  <si>
    <t>2020.7.17-2021.7.16</t>
  </si>
  <si>
    <r>
      <rPr>
        <sz val="10"/>
        <color theme="1"/>
        <rFont val="宋体"/>
        <charset val="134"/>
      </rPr>
      <t>阿里巴巴数字营销充值包</t>
    </r>
  </si>
  <si>
    <t>2020.9.4-2025.9.4</t>
  </si>
  <si>
    <t>2021.9.14</t>
  </si>
  <si>
    <t>无银行付款单据，附记账凭证（2020.9.3）</t>
  </si>
  <si>
    <r>
      <rPr>
        <sz val="10"/>
        <color theme="1"/>
        <rFont val="Arial Narrow"/>
        <charset val="134"/>
      </rPr>
      <t>2020.5.18</t>
    </r>
    <r>
      <rPr>
        <sz val="10"/>
        <color theme="1"/>
        <rFont val="宋体"/>
        <charset val="134"/>
      </rPr>
      <t>，</t>
    </r>
    <r>
      <rPr>
        <sz val="10"/>
        <color theme="1"/>
        <rFont val="Arial Narrow"/>
        <charset val="134"/>
      </rPr>
      <t>12</t>
    </r>
    <r>
      <rPr>
        <sz val="10"/>
        <color theme="1"/>
        <rFont val="宋体"/>
        <charset val="134"/>
      </rPr>
      <t>个月</t>
    </r>
  </si>
  <si>
    <t>2020.5.7</t>
  </si>
  <si>
    <r>
      <rPr>
        <sz val="10"/>
        <color theme="1"/>
        <rFont val="Arial Narrow"/>
        <charset val="134"/>
      </rPr>
      <t>2020.9</t>
    </r>
    <r>
      <rPr>
        <sz val="10"/>
        <color theme="1"/>
        <rFont val="宋体"/>
        <charset val="134"/>
      </rPr>
      <t>.</t>
    </r>
    <r>
      <rPr>
        <sz val="10"/>
        <color theme="1"/>
        <rFont val="Arial Narrow"/>
        <charset val="134"/>
      </rPr>
      <t>30</t>
    </r>
    <r>
      <rPr>
        <sz val="10"/>
        <color theme="1"/>
        <rFont val="宋体"/>
        <charset val="134"/>
      </rPr>
      <t>，</t>
    </r>
    <r>
      <rPr>
        <sz val="10"/>
        <color theme="1"/>
        <rFont val="Arial Narrow"/>
        <charset val="134"/>
      </rPr>
      <t>12</t>
    </r>
    <r>
      <rPr>
        <sz val="10"/>
        <color theme="1"/>
        <rFont val="宋体"/>
        <charset val="134"/>
      </rPr>
      <t>个月</t>
    </r>
  </si>
  <si>
    <t>2020.9.30</t>
  </si>
  <si>
    <t>2020.12.15</t>
  </si>
  <si>
    <t>2021.2.2</t>
  </si>
  <si>
    <t>2021.2.10</t>
  </si>
  <si>
    <r>
      <rPr>
        <sz val="10"/>
        <color theme="1"/>
        <rFont val="Arial Narrow"/>
        <charset val="134"/>
      </rPr>
      <t>2021.4.9</t>
    </r>
    <r>
      <rPr>
        <sz val="10"/>
        <color theme="1"/>
        <rFont val="宋体"/>
        <charset val="134"/>
      </rPr>
      <t>，</t>
    </r>
    <r>
      <rPr>
        <sz val="10"/>
        <color theme="1"/>
        <rFont val="Arial Narrow"/>
        <charset val="134"/>
      </rPr>
      <t>12</t>
    </r>
    <r>
      <rPr>
        <sz val="10"/>
        <color theme="1"/>
        <rFont val="宋体"/>
        <charset val="134"/>
      </rPr>
      <t>个月</t>
    </r>
  </si>
  <si>
    <r>
      <rPr>
        <sz val="10"/>
        <color theme="1"/>
        <rFont val="Arial Narrow"/>
        <charset val="134"/>
      </rPr>
      <t>2019.12.3</t>
    </r>
    <r>
      <rPr>
        <sz val="10"/>
        <color theme="1"/>
        <rFont val="宋体"/>
        <charset val="134"/>
      </rPr>
      <t>，</t>
    </r>
    <r>
      <rPr>
        <sz val="10"/>
        <color theme="1"/>
        <rFont val="Arial Narrow"/>
        <charset val="134"/>
      </rPr>
      <t>12</t>
    </r>
    <r>
      <rPr>
        <sz val="10"/>
        <color theme="1"/>
        <rFont val="宋体"/>
        <charset val="134"/>
      </rPr>
      <t>个月</t>
    </r>
  </si>
  <si>
    <t>2019.12.4</t>
  </si>
  <si>
    <t>2020.1.7</t>
  </si>
  <si>
    <t>2020.1.2</t>
  </si>
  <si>
    <t>网站培训报名费</t>
  </si>
  <si>
    <t>天津中物网络科技股份公司明细</t>
  </si>
  <si>
    <t>序号</t>
  </si>
  <si>
    <t>费用</t>
  </si>
  <si>
    <r>
      <rPr>
        <sz val="9"/>
        <color theme="1"/>
        <rFont val="宋体"/>
        <charset val="134"/>
      </rPr>
      <t>合同</t>
    </r>
  </si>
  <si>
    <r>
      <rPr>
        <sz val="9"/>
        <color theme="1"/>
        <rFont val="宋体"/>
        <charset val="134"/>
      </rPr>
      <t>水单</t>
    </r>
  </si>
  <si>
    <r>
      <rPr>
        <sz val="9"/>
        <color theme="1"/>
        <rFont val="宋体"/>
        <charset val="134"/>
      </rPr>
      <t>发票</t>
    </r>
  </si>
  <si>
    <r>
      <rPr>
        <sz val="9"/>
        <color theme="1"/>
        <rFont val="宋体"/>
        <charset val="134"/>
      </rPr>
      <t>审定</t>
    </r>
  </si>
  <si>
    <r>
      <rPr>
        <sz val="9"/>
        <color theme="1"/>
        <rFont val="宋体"/>
        <charset val="134"/>
      </rPr>
      <t>日期</t>
    </r>
  </si>
  <si>
    <r>
      <rPr>
        <sz val="9"/>
        <color theme="1"/>
        <rFont val="宋体"/>
        <charset val="134"/>
      </rPr>
      <t>金额</t>
    </r>
  </si>
  <si>
    <t>日期</t>
  </si>
  <si>
    <t>金额</t>
  </si>
  <si>
    <r>
      <rPr>
        <b/>
        <sz val="9"/>
        <color theme="1"/>
        <rFont val="宋体"/>
        <charset val="134"/>
      </rPr>
      <t>合计</t>
    </r>
  </si>
  <si>
    <r>
      <rPr>
        <sz val="9"/>
        <color theme="1"/>
        <rFont val="宋体"/>
        <charset val="134"/>
      </rPr>
      <t>阿里云计算有限公司充值</t>
    </r>
  </si>
  <si>
    <t>2020.7.21</t>
  </si>
  <si>
    <r>
      <rPr>
        <sz val="9"/>
        <color theme="1"/>
        <rFont val="宋体"/>
        <charset val="134"/>
      </rPr>
      <t>武汉闪达科技公司充值</t>
    </r>
  </si>
  <si>
    <t>2020.4.9</t>
  </si>
  <si>
    <t>2019.6.6</t>
  </si>
  <si>
    <t>2019.12.26</t>
  </si>
  <si>
    <t>2020.10</t>
  </si>
  <si>
    <r>
      <rPr>
        <sz val="9"/>
        <color theme="1"/>
        <rFont val="宋体"/>
        <charset val="134"/>
      </rPr>
      <t>广州汇华信息科技有限公司邮箱续费</t>
    </r>
  </si>
  <si>
    <t>2021.3.19</t>
  </si>
  <si>
    <t>2021.3.18</t>
  </si>
  <si>
    <r>
      <rPr>
        <sz val="9"/>
        <color theme="1"/>
        <rFont val="宋体"/>
        <charset val="134"/>
      </rPr>
      <t>成都西维数码科技有限公司域名续费</t>
    </r>
  </si>
  <si>
    <t>2020.4.24</t>
  </si>
  <si>
    <t>2021.6.16</t>
  </si>
  <si>
    <r>
      <rPr>
        <sz val="9"/>
        <color theme="1"/>
        <rFont val="宋体"/>
        <charset val="134"/>
      </rPr>
      <t>阿里云计算有限公司服务器费</t>
    </r>
  </si>
  <si>
    <t>2020.3.12</t>
  </si>
  <si>
    <r>
      <rPr>
        <sz val="9"/>
        <color theme="1"/>
        <rFont val="宋体"/>
        <charset val="134"/>
      </rPr>
      <t>阿里云计算有限公司域名证书费</t>
    </r>
  </si>
  <si>
    <r>
      <rPr>
        <sz val="9"/>
        <color theme="1"/>
        <rFont val="宋体"/>
        <charset val="134"/>
      </rPr>
      <t>阿里云计算有限公司数据库费</t>
    </r>
  </si>
  <si>
    <t>2020.5.19</t>
  </si>
  <si>
    <r>
      <rPr>
        <sz val="9"/>
        <color theme="1"/>
        <rFont val="宋体"/>
        <charset val="134"/>
      </rPr>
      <t>阿里云计算有限公司域名费</t>
    </r>
  </si>
  <si>
    <t>2021.6.19</t>
  </si>
  <si>
    <t>2021.6.21</t>
  </si>
  <si>
    <r>
      <rPr>
        <sz val="10"/>
        <color theme="1"/>
        <rFont val="宋体"/>
        <charset val="134"/>
      </rPr>
      <t>单位</t>
    </r>
  </si>
  <si>
    <r>
      <rPr>
        <sz val="10"/>
        <color theme="1"/>
        <rFont val="宋体"/>
        <charset val="134"/>
      </rPr>
      <t>其它原因</t>
    </r>
  </si>
  <si>
    <r>
      <rPr>
        <sz val="10"/>
        <color theme="1"/>
        <rFont val="Arial Narrow"/>
        <charset val="134"/>
      </rPr>
      <t>21</t>
    </r>
    <r>
      <rPr>
        <sz val="10"/>
        <color theme="1"/>
        <rFont val="宋体"/>
        <charset val="134"/>
      </rPr>
      <t>年</t>
    </r>
    <r>
      <rPr>
        <sz val="10"/>
        <color theme="1"/>
        <rFont val="Arial Narrow"/>
        <charset val="134"/>
      </rPr>
      <t>7</t>
    </r>
    <r>
      <rPr>
        <sz val="10"/>
        <color theme="1"/>
        <rFont val="宋体"/>
        <charset val="134"/>
      </rPr>
      <t>月以后</t>
    </r>
  </si>
  <si>
    <r>
      <rPr>
        <b/>
        <sz val="10"/>
        <color theme="1"/>
        <rFont val="宋体"/>
        <charset val="134"/>
      </rPr>
      <t>合计</t>
    </r>
  </si>
  <si>
    <t>.</t>
  </si>
  <si>
    <t>信用中国</t>
  </si>
  <si>
    <t>国企</t>
  </si>
  <si>
    <t>监管平台</t>
  </si>
  <si>
    <t>天津易宏国际贸易有限公司</t>
  </si>
  <si>
    <t>天津展志钢铁有限公司</t>
  </si>
  <si>
    <t>祥锦（天津）车业有限公司</t>
  </si>
  <si>
    <t>天津惠好国际贸易有限公司</t>
  </si>
  <si>
    <t>易路达车业（天津）股份有限公司</t>
  </si>
  <si>
    <t>天津朝泽维美进出口贸易有限公司</t>
  </si>
  <si>
    <t>天津市万蕾钢管有限公司</t>
  </si>
  <si>
    <t>云建（天津）国际贸易有限公司</t>
  </si>
  <si>
    <t>伟丰（天津）国际贸易有限公司</t>
  </si>
  <si>
    <t>天津友圣发国际贸易有限公司</t>
  </si>
  <si>
    <t>易跨竞（天津）科技发展有限公司</t>
  </si>
  <si>
    <t>天津汇来国际贸易有限公司</t>
  </si>
  <si>
    <t>天津市润飞贸易有限公司</t>
  </si>
  <si>
    <t>天津力为国际贸易有限公司</t>
  </si>
  <si>
    <t>天津福格斯进出口贸易有限公司</t>
  </si>
  <si>
    <t>天津晟美天源国际贸易有限公司</t>
  </si>
  <si>
    <t>天津民杰科技股份有限公司</t>
  </si>
  <si>
    <t>天津广大纸业股份有限公司</t>
  </si>
  <si>
    <t>天津泰如进出口贸易有限公司</t>
  </si>
  <si>
    <t>鸿威新科（天津）装饰材料有限公司</t>
  </si>
  <si>
    <t>天津市力拓进出口有限公司</t>
  </si>
  <si>
    <t>天津摩登时代商贸有限公司</t>
  </si>
  <si>
    <t>天津世纪五矿贸易有限公司</t>
  </si>
  <si>
    <t>天津市南翔板带有限公司</t>
  </si>
  <si>
    <t>天津市永信国际贸易有限公司</t>
  </si>
  <si>
    <t>深之蓝（天津）水下智能科技有限公司</t>
  </si>
  <si>
    <t>天津市普光医用材料制造有限公司</t>
  </si>
  <si>
    <t>天津丝绸进出口股份有限公司</t>
  </si>
  <si>
    <t>建支国际贸易（天津）有限公司</t>
  </si>
  <si>
    <t>天津盛荣纺织品有限公司</t>
  </si>
  <si>
    <t>天津市瑞源电工器材有限公司</t>
  </si>
  <si>
    <t>天津岱安金属材料有限公司</t>
  </si>
  <si>
    <t>天津市兆宏金属制品股份有限公司</t>
  </si>
  <si>
    <t>天津大桥国际贸易有限责任公司</t>
  </si>
  <si>
    <t>天津大桥焊材集团有限公司</t>
  </si>
  <si>
    <t>天津市沐森科技有限公司</t>
  </si>
  <si>
    <t>天津利安隆新材料股份有限公司</t>
  </si>
  <si>
    <t>天津京路发科技发展有限公司</t>
  </si>
  <si>
    <t>天津市诺熠烜进出口贸易有限公司</t>
  </si>
  <si>
    <t>天津盛泰国际贸易有限公司</t>
  </si>
</sst>
</file>

<file path=xl/styles.xml><?xml version="1.0" encoding="utf-8"?>
<styleSheet xmlns="http://schemas.openxmlformats.org/spreadsheetml/2006/main">
  <numFmts count="5">
    <numFmt numFmtId="42" formatCode="_ &quot;￥&quot;* #,##0_ ;_ &quot;￥&quot;* \-#,##0_ ;_ &quot;￥&quot;* &quot;-&quot;_ ;_ @_ "/>
    <numFmt numFmtId="176" formatCode="0.00_);[Red]\(0.00\)"/>
    <numFmt numFmtId="44" formatCode="_ &quot;￥&quot;* #,##0.00_ ;_ &quot;￥&quot;* \-#,##0.00_ ;_ &quot;￥&quot;* &quot;-&quot;??_ ;_ @_ "/>
    <numFmt numFmtId="43" formatCode="_ * #,##0.00_ ;_ * \-#,##0.00_ ;_ * &quot;-&quot;??_ ;_ @_ "/>
    <numFmt numFmtId="41" formatCode="_ * #,##0_ ;_ * \-#,##0_ ;_ * &quot;-&quot;_ ;_ @_ "/>
  </numFmts>
  <fonts count="54">
    <font>
      <sz val="11"/>
      <color theme="1"/>
      <name val="宋体"/>
      <charset val="134"/>
      <scheme val="minor"/>
    </font>
    <font>
      <sz val="10"/>
      <color theme="1"/>
      <name val="Arial Narrow"/>
      <charset val="134"/>
    </font>
    <font>
      <b/>
      <sz val="10"/>
      <color theme="1"/>
      <name val="Arial Narrow"/>
      <charset val="134"/>
    </font>
    <font>
      <sz val="10"/>
      <color rgb="FFFF0000"/>
      <name val="Arial Narrow"/>
      <charset val="134"/>
    </font>
    <font>
      <sz val="11"/>
      <color theme="1"/>
      <name val="Arial Narrow"/>
      <charset val="134"/>
    </font>
    <font>
      <sz val="14"/>
      <color theme="1"/>
      <name val="宋体"/>
      <charset val="134"/>
    </font>
    <font>
      <sz val="14"/>
      <color theme="1"/>
      <name val="Arial Narrow"/>
      <charset val="134"/>
    </font>
    <font>
      <sz val="9"/>
      <color theme="1"/>
      <name val="宋体"/>
      <charset val="134"/>
    </font>
    <font>
      <sz val="9"/>
      <color theme="1"/>
      <name val="Arial Narrow"/>
      <charset val="134"/>
    </font>
    <font>
      <b/>
      <sz val="9"/>
      <color theme="1"/>
      <name val="Arial Narrow"/>
      <charset val="134"/>
    </font>
    <font>
      <sz val="11"/>
      <color theme="1"/>
      <name val="宋体"/>
      <charset val="134"/>
    </font>
    <font>
      <sz val="10"/>
      <color theme="1"/>
      <name val="宋体"/>
      <charset val="134"/>
    </font>
    <font>
      <sz val="10"/>
      <name val="Arial Narrow"/>
      <charset val="134"/>
    </font>
    <font>
      <b/>
      <sz val="16"/>
      <color theme="1"/>
      <name val="Arial Narrow"/>
      <charset val="134"/>
    </font>
    <font>
      <b/>
      <sz val="10"/>
      <color rgb="FFFF0000"/>
      <name val="Arial Narrow"/>
      <charset val="134"/>
    </font>
    <font>
      <b/>
      <sz val="10"/>
      <color theme="1"/>
      <name val="宋体"/>
      <charset val="134"/>
    </font>
    <font>
      <sz val="10"/>
      <name val="宋体"/>
      <charset val="134"/>
    </font>
    <font>
      <sz val="8"/>
      <name val="Arial Narrow"/>
      <charset val="134"/>
    </font>
    <font>
      <sz val="11"/>
      <color theme="1"/>
      <name val="Times New Roman"/>
      <charset val="134"/>
    </font>
    <font>
      <sz val="14"/>
      <color theme="1"/>
      <name val="黑体"/>
      <charset val="134"/>
    </font>
    <font>
      <sz val="18"/>
      <color theme="1"/>
      <name val="Times New Roman"/>
      <charset val="134"/>
    </font>
    <font>
      <b/>
      <sz val="10"/>
      <color theme="1"/>
      <name val="Times New Roman"/>
      <charset val="134"/>
    </font>
    <font>
      <b/>
      <sz val="12"/>
      <color theme="1"/>
      <name val="Times New Roman"/>
      <charset val="134"/>
    </font>
    <font>
      <b/>
      <sz val="12"/>
      <color theme="1"/>
      <name val="宋体"/>
      <charset val="134"/>
    </font>
    <font>
      <sz val="12"/>
      <name val="Times New Roman"/>
      <charset val="134"/>
    </font>
    <font>
      <sz val="12"/>
      <name val="宋体"/>
      <charset val="134"/>
    </font>
    <font>
      <sz val="14"/>
      <color theme="1"/>
      <name val="Times New Roman"/>
      <charset val="134"/>
    </font>
    <font>
      <sz val="12"/>
      <color theme="1"/>
      <name val="Times New Roman"/>
      <charset val="134"/>
    </font>
    <font>
      <sz val="10"/>
      <color theme="1"/>
      <name val="Times New Roman"/>
      <charset val="134"/>
    </font>
    <font>
      <sz val="11"/>
      <color theme="1"/>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
      <b/>
      <sz val="11"/>
      <color rgb="FFFFFFFF"/>
      <name val="宋体"/>
      <charset val="0"/>
      <scheme val="minor"/>
    </font>
    <font>
      <b/>
      <sz val="11"/>
      <color rgb="FFFA7D00"/>
      <name val="宋体"/>
      <charset val="0"/>
      <scheme val="minor"/>
    </font>
    <font>
      <b/>
      <sz val="9"/>
      <color theme="1"/>
      <name val="宋体"/>
      <charset val="134"/>
    </font>
    <font>
      <b/>
      <sz val="16"/>
      <color theme="1"/>
      <name val="宋体"/>
      <charset val="134"/>
    </font>
    <font>
      <sz val="18"/>
      <color theme="1"/>
      <name val="方正小标宋简体"/>
      <charset val="134"/>
    </font>
    <font>
      <sz val="9"/>
      <name val="Arial Narrow"/>
      <charset val="134"/>
    </font>
    <font>
      <sz val="9"/>
      <name val="宋体"/>
      <charset val="134"/>
    </font>
    <font>
      <b/>
      <sz val="9"/>
      <name val="宋体"/>
      <charset val="134"/>
    </font>
  </fonts>
  <fills count="3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8"/>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rgb="FFFFEB9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5" tint="0.799981688894314"/>
        <bgColor indexed="64"/>
      </patternFill>
    </fill>
  </fills>
  <borders count="16">
    <border>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0">
    <xf numFmtId="0" fontId="0" fillId="0" borderId="0"/>
    <xf numFmtId="0" fontId="0" fillId="0" borderId="0"/>
    <xf numFmtId="0" fontId="25" fillId="0" borderId="0">
      <alignment vertical="center"/>
    </xf>
    <xf numFmtId="0" fontId="25" fillId="0" borderId="0"/>
    <xf numFmtId="0" fontId="25" fillId="0" borderId="0">
      <alignment vertical="center"/>
    </xf>
    <xf numFmtId="9" fontId="0" fillId="0" borderId="0" applyFont="false" applyFill="false" applyBorder="false" applyAlignment="false" applyProtection="false">
      <alignment vertical="center"/>
    </xf>
    <xf numFmtId="0" fontId="25" fillId="0" borderId="0"/>
    <xf numFmtId="0" fontId="31" fillId="20" borderId="0" applyNumberFormat="false" applyBorder="false" applyAlignment="false" applyProtection="false">
      <alignment vertical="center"/>
    </xf>
    <xf numFmtId="0" fontId="29" fillId="30" borderId="0" applyNumberFormat="false" applyBorder="false" applyAlignment="false" applyProtection="false">
      <alignment vertical="center"/>
    </xf>
    <xf numFmtId="0" fontId="41" fillId="24" borderId="12" applyNumberFormat="false" applyAlignment="false" applyProtection="false">
      <alignment vertical="center"/>
    </xf>
    <xf numFmtId="0" fontId="46" fillId="35" borderId="15" applyNumberFormat="false" applyAlignment="false" applyProtection="false">
      <alignment vertical="center"/>
    </xf>
    <xf numFmtId="0" fontId="39"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10"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34" fillId="0" borderId="10" applyNumberFormat="false" applyFill="false" applyAlignment="false" applyProtection="false">
      <alignment vertical="center"/>
    </xf>
    <xf numFmtId="0" fontId="25" fillId="0" borderId="0"/>
    <xf numFmtId="0" fontId="29" fillId="2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xf numFmtId="0" fontId="29" fillId="21"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1" fillId="14" borderId="0" applyNumberFormat="false" applyBorder="false" applyAlignment="false" applyProtection="false">
      <alignment vertical="center"/>
    </xf>
    <xf numFmtId="0" fontId="38" fillId="0" borderId="13" applyNumberFormat="false" applyFill="false" applyAlignment="false" applyProtection="false">
      <alignment vertical="center"/>
    </xf>
    <xf numFmtId="0" fontId="33" fillId="0" borderId="9" applyNumberFormat="false" applyFill="false" applyAlignment="false" applyProtection="false">
      <alignment vertical="center"/>
    </xf>
    <xf numFmtId="0" fontId="29" fillId="28" borderId="0" applyNumberFormat="false" applyBorder="false" applyAlignment="false" applyProtection="false">
      <alignment vertical="center"/>
    </xf>
    <xf numFmtId="0" fontId="29" fillId="29"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5" fillId="0" borderId="0">
      <alignment vertical="center"/>
    </xf>
    <xf numFmtId="0" fontId="29" fillId="33" borderId="0" applyNumberFormat="false" applyBorder="false" applyAlignment="false" applyProtection="false">
      <alignment vertical="center"/>
    </xf>
    <xf numFmtId="0" fontId="0" fillId="0" borderId="0"/>
    <xf numFmtId="0" fontId="42" fillId="0" borderId="1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9" fillId="3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29" fillId="36" borderId="0" applyNumberFormat="false" applyBorder="false" applyAlignment="false" applyProtection="false">
      <alignment vertical="center"/>
    </xf>
    <xf numFmtId="0" fontId="0" fillId="15" borderId="11" applyNumberFormat="false" applyFont="false" applyAlignment="false" applyProtection="false">
      <alignment vertical="center"/>
    </xf>
    <xf numFmtId="0" fontId="31" fillId="26" borderId="0" applyNumberFormat="false" applyBorder="false" applyAlignment="false" applyProtection="false">
      <alignment vertical="center"/>
    </xf>
    <xf numFmtId="0" fontId="40" fillId="23" borderId="0" applyNumberFormat="false" applyBorder="false" applyAlignment="false" applyProtection="false">
      <alignment vertical="center"/>
    </xf>
    <xf numFmtId="0" fontId="29" fillId="19"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47" fillId="24" borderId="8" applyNumberFormat="false" applyAlignment="false" applyProtection="false">
      <alignment vertical="center"/>
    </xf>
    <xf numFmtId="0" fontId="31" fillId="13" borderId="0" applyNumberFormat="false" applyBorder="false" applyAlignment="false" applyProtection="false">
      <alignment vertical="center"/>
    </xf>
    <xf numFmtId="0" fontId="31" fillId="17"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9"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30" fillId="8" borderId="8" applyNumberFormat="false" applyAlignment="false" applyProtection="false">
      <alignment vertical="center"/>
    </xf>
    <xf numFmtId="0" fontId="29" fillId="7"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29" fillId="34" borderId="0" applyNumberFormat="false" applyBorder="false" applyAlignment="false" applyProtection="false">
      <alignment vertical="center"/>
    </xf>
  </cellStyleXfs>
  <cellXfs count="180">
    <xf numFmtId="0" fontId="0" fillId="0" borderId="0" xfId="0"/>
    <xf numFmtId="0" fontId="0" fillId="0" borderId="0" xfId="0" applyAlignment="true">
      <alignment horizontal="center" vertical="center"/>
    </xf>
    <xf numFmtId="0" fontId="0" fillId="0" borderId="0" xfId="0" applyAlignment="true">
      <alignment vertical="center"/>
    </xf>
    <xf numFmtId="0" fontId="0" fillId="2" borderId="0" xfId="0" applyFill="true" applyAlignment="true">
      <alignment horizontal="center" vertical="center"/>
    </xf>
    <xf numFmtId="0" fontId="0" fillId="2" borderId="0" xfId="0" applyFill="true" applyAlignment="true">
      <alignment vertical="center"/>
    </xf>
    <xf numFmtId="0" fontId="1" fillId="0" borderId="0" xfId="0" applyFont="true" applyFill="true" applyAlignment="true">
      <alignment horizontal="center" vertical="center"/>
    </xf>
    <xf numFmtId="0" fontId="1" fillId="0" borderId="0" xfId="0" applyFont="true" applyFill="true" applyAlignment="true">
      <alignment horizontal="left" vertical="center"/>
    </xf>
    <xf numFmtId="0" fontId="2" fillId="0" borderId="0" xfId="0" applyFont="true" applyFill="true" applyAlignment="true">
      <alignment vertical="center"/>
    </xf>
    <xf numFmtId="0" fontId="1" fillId="0" borderId="0" xfId="0" applyFont="true" applyFill="true" applyAlignment="true">
      <alignment vertical="center"/>
    </xf>
    <xf numFmtId="43" fontId="1" fillId="0" borderId="0" xfId="28" applyFont="true" applyFill="true" applyAlignment="true">
      <alignment vertical="center"/>
    </xf>
    <xf numFmtId="43" fontId="1" fillId="0" borderId="0" xfId="0" applyNumberFormat="true" applyFont="true" applyFill="true" applyAlignment="true">
      <alignment horizontal="center" vertical="center"/>
    </xf>
    <xf numFmtId="0" fontId="2" fillId="0" borderId="0" xfId="0" applyFont="true" applyFill="true" applyAlignment="true">
      <alignment horizontal="center" vertical="center"/>
    </xf>
    <xf numFmtId="43" fontId="2" fillId="0" borderId="0" xfId="28" applyFont="true" applyFill="true" applyAlignment="true">
      <alignment vertical="center"/>
    </xf>
    <xf numFmtId="43" fontId="2" fillId="2" borderId="0" xfId="28" applyFont="true" applyFill="true" applyAlignment="true">
      <alignment vertical="center"/>
    </xf>
    <xf numFmtId="43" fontId="2" fillId="0" borderId="0" xfId="0" applyNumberFormat="true" applyFont="true" applyFill="true" applyAlignment="true">
      <alignment vertical="center"/>
    </xf>
    <xf numFmtId="49" fontId="1" fillId="0" borderId="0" xfId="0" applyNumberFormat="true" applyFont="true" applyFill="true" applyAlignment="true">
      <alignment vertical="center"/>
    </xf>
    <xf numFmtId="43" fontId="3" fillId="0" borderId="0" xfId="28" applyFont="true" applyFill="true" applyAlignment="true">
      <alignment vertical="center"/>
    </xf>
    <xf numFmtId="43" fontId="1" fillId="0" borderId="0" xfId="0" applyNumberFormat="true" applyFont="true" applyFill="true" applyAlignment="true">
      <alignment vertical="center"/>
    </xf>
    <xf numFmtId="0" fontId="4" fillId="0" borderId="0" xfId="0" applyFont="true" applyAlignment="true">
      <alignment vertical="center"/>
    </xf>
    <xf numFmtId="43" fontId="4" fillId="0" borderId="0" xfId="28" applyFont="true" applyAlignment="true">
      <alignment vertical="center"/>
    </xf>
    <xf numFmtId="0" fontId="5" fillId="0" borderId="1" xfId="0" applyFont="true" applyBorder="true" applyAlignment="true">
      <alignment horizontal="center" vertical="center"/>
    </xf>
    <xf numFmtId="0" fontId="6" fillId="0" borderId="1" xfId="0" applyFont="true" applyBorder="true" applyAlignment="true">
      <alignment horizontal="center" vertical="center"/>
    </xf>
    <xf numFmtId="0" fontId="7" fillId="0" borderId="2" xfId="0" applyFont="true" applyBorder="true" applyAlignment="true">
      <alignment horizontal="center" vertical="center"/>
    </xf>
    <xf numFmtId="0" fontId="8" fillId="0" borderId="3" xfId="0" applyFont="true" applyBorder="true" applyAlignment="true">
      <alignment horizontal="center" vertical="center"/>
    </xf>
    <xf numFmtId="0" fontId="8" fillId="0" borderId="4" xfId="0" applyFont="true" applyBorder="true" applyAlignment="true">
      <alignment horizontal="center" vertical="center"/>
    </xf>
    <xf numFmtId="0" fontId="9" fillId="0" borderId="5" xfId="0" applyFont="true" applyFill="true" applyBorder="true" applyAlignment="true">
      <alignment horizontal="center" vertical="center"/>
    </xf>
    <xf numFmtId="0" fontId="9" fillId="0" borderId="6" xfId="0" applyFont="true" applyFill="true" applyBorder="true" applyAlignment="true">
      <alignment horizontal="center" vertical="center"/>
    </xf>
    <xf numFmtId="0" fontId="9" fillId="0" borderId="3" xfId="0" applyFont="true" applyFill="true" applyBorder="true" applyAlignment="true">
      <alignment horizontal="center" vertical="center"/>
    </xf>
    <xf numFmtId="43" fontId="9" fillId="0" borderId="3" xfId="12" applyFont="true" applyFill="true" applyBorder="true" applyAlignment="true">
      <alignment vertical="center"/>
    </xf>
    <xf numFmtId="0" fontId="8" fillId="2" borderId="3" xfId="0" applyFont="true" applyFill="true" applyBorder="true" applyAlignment="true">
      <alignment horizontal="center" vertical="center"/>
    </xf>
    <xf numFmtId="0" fontId="8" fillId="2" borderId="3" xfId="0" applyFont="true" applyFill="true" applyBorder="true" applyAlignment="true">
      <alignment horizontal="left" vertical="center"/>
    </xf>
    <xf numFmtId="0" fontId="9" fillId="2" borderId="3" xfId="0" applyFont="true" applyFill="true" applyBorder="true" applyAlignment="true">
      <alignment horizontal="center" vertical="center"/>
    </xf>
    <xf numFmtId="43" fontId="9" fillId="2" borderId="3" xfId="12" applyFont="true" applyFill="true" applyBorder="true" applyAlignment="true">
      <alignment vertical="center"/>
    </xf>
    <xf numFmtId="0" fontId="8" fillId="0" borderId="3" xfId="0" applyFont="true" applyFill="true" applyBorder="true" applyAlignment="true">
      <alignment horizontal="center" vertical="center"/>
    </xf>
    <xf numFmtId="0" fontId="8" fillId="0" borderId="3" xfId="0" applyFont="true" applyFill="true" applyBorder="true" applyAlignment="true">
      <alignment horizontal="left" vertical="center"/>
    </xf>
    <xf numFmtId="43" fontId="8" fillId="2" borderId="3" xfId="12" applyFont="true" applyFill="true" applyBorder="true" applyAlignment="true">
      <alignment vertical="center"/>
    </xf>
    <xf numFmtId="43" fontId="8" fillId="2" borderId="3" xfId="12" applyFont="true" applyFill="true" applyBorder="true" applyAlignment="true">
      <alignment horizontal="center" vertical="center"/>
    </xf>
    <xf numFmtId="43" fontId="8" fillId="0" borderId="3" xfId="12" applyFont="true" applyFill="true" applyBorder="true" applyAlignment="true">
      <alignment vertical="center"/>
    </xf>
    <xf numFmtId="43" fontId="8" fillId="0" borderId="3" xfId="12" applyFont="true" applyFill="true" applyBorder="true" applyAlignment="true">
      <alignment horizontal="center" vertical="center"/>
    </xf>
    <xf numFmtId="0" fontId="8" fillId="3" borderId="3" xfId="0" applyFont="true" applyFill="true" applyBorder="true" applyAlignment="true">
      <alignment horizontal="center" vertical="center"/>
    </xf>
    <xf numFmtId="43" fontId="4" fillId="0" borderId="0" xfId="0" applyNumberFormat="true" applyFont="true" applyAlignment="true">
      <alignment vertical="center"/>
    </xf>
    <xf numFmtId="0" fontId="10" fillId="0" borderId="0" xfId="0" applyFont="true" applyAlignment="true">
      <alignment horizontal="center" vertical="center"/>
    </xf>
    <xf numFmtId="43" fontId="10" fillId="0" borderId="0" xfId="28" applyFont="true" applyAlignment="true">
      <alignment horizontal="center" vertical="center"/>
    </xf>
    <xf numFmtId="43" fontId="2" fillId="0" borderId="0" xfId="28" applyFont="true" applyAlignment="true">
      <alignment vertical="center"/>
    </xf>
    <xf numFmtId="43" fontId="8" fillId="2" borderId="3" xfId="0" applyNumberFormat="true" applyFont="true" applyFill="true" applyBorder="true" applyAlignment="true">
      <alignment horizontal="center" vertical="center"/>
    </xf>
    <xf numFmtId="0" fontId="4" fillId="0" borderId="0" xfId="0" applyFont="true" applyAlignment="true">
      <alignment horizontal="center" vertical="center"/>
    </xf>
    <xf numFmtId="43" fontId="1" fillId="0" borderId="0" xfId="28" applyFont="true" applyAlignment="true">
      <alignment vertical="center"/>
    </xf>
    <xf numFmtId="43" fontId="8" fillId="0" borderId="3" xfId="0" applyNumberFormat="true" applyFont="true" applyBorder="true" applyAlignment="true">
      <alignment horizontal="center" vertical="center"/>
    </xf>
    <xf numFmtId="43" fontId="8" fillId="0" borderId="3" xfId="0" applyNumberFormat="true" applyFont="true" applyBorder="true" applyAlignment="true">
      <alignment vertical="center"/>
    </xf>
    <xf numFmtId="49" fontId="4" fillId="0" borderId="0" xfId="0" applyNumberFormat="true" applyFont="true" applyAlignment="true">
      <alignment horizontal="center" vertical="center"/>
    </xf>
    <xf numFmtId="43" fontId="8" fillId="2" borderId="3" xfId="0" applyNumberFormat="true" applyFont="true" applyFill="true" applyBorder="true" applyAlignment="true">
      <alignment vertical="center"/>
    </xf>
    <xf numFmtId="0" fontId="2" fillId="0" borderId="0" xfId="0" applyFont="true" applyFill="true" applyAlignment="true">
      <alignment horizontal="left" vertical="center"/>
    </xf>
    <xf numFmtId="43" fontId="2" fillId="0" borderId="0" xfId="0" applyNumberFormat="true" applyFont="true" applyFill="true" applyAlignment="true">
      <alignment horizontal="center" vertical="center"/>
    </xf>
    <xf numFmtId="43" fontId="1" fillId="0" borderId="0" xfId="12" applyFont="true" applyFill="true" applyAlignment="true">
      <alignment vertical="center"/>
    </xf>
    <xf numFmtId="43" fontId="2" fillId="0" borderId="0" xfId="12" applyFont="true" applyFill="true" applyAlignment="true">
      <alignment vertical="center"/>
    </xf>
    <xf numFmtId="0" fontId="11" fillId="0" borderId="0" xfId="0" applyFont="true" applyFill="true" applyAlignment="true">
      <alignment horizontal="left" vertical="center"/>
    </xf>
    <xf numFmtId="0" fontId="1" fillId="3" borderId="0" xfId="0" applyFont="true" applyFill="true" applyAlignment="true">
      <alignment horizontal="center" vertical="center"/>
    </xf>
    <xf numFmtId="43" fontId="1" fillId="3" borderId="0" xfId="12" applyFont="true" applyFill="true" applyAlignment="true">
      <alignment vertical="center"/>
    </xf>
    <xf numFmtId="0" fontId="1" fillId="4" borderId="0" xfId="0" applyFont="true" applyFill="true" applyAlignment="true">
      <alignment horizontal="center" vertical="center"/>
    </xf>
    <xf numFmtId="43" fontId="1" fillId="4" borderId="0" xfId="12" applyFont="true" applyFill="true" applyAlignment="true">
      <alignment vertical="center"/>
    </xf>
    <xf numFmtId="43" fontId="1" fillId="3" borderId="0" xfId="12" applyFont="true" applyFill="true" applyAlignment="true">
      <alignment horizontal="center" vertical="center"/>
    </xf>
    <xf numFmtId="43" fontId="1" fillId="0" borderId="0" xfId="12" applyFont="true" applyFill="true" applyAlignment="true">
      <alignment horizontal="center" vertical="center"/>
    </xf>
    <xf numFmtId="43" fontId="1" fillId="4" borderId="0" xfId="12" applyFont="true" applyFill="true" applyAlignment="true">
      <alignment horizontal="center" vertical="center"/>
    </xf>
    <xf numFmtId="0" fontId="1" fillId="5" borderId="0" xfId="0" applyFont="true" applyFill="true" applyAlignment="true">
      <alignment horizontal="center" vertical="center"/>
    </xf>
    <xf numFmtId="43" fontId="1" fillId="5" borderId="0" xfId="12" applyFont="true" applyFill="true" applyAlignment="true">
      <alignment vertical="center"/>
    </xf>
    <xf numFmtId="49" fontId="1" fillId="4" borderId="0" xfId="0" applyNumberFormat="true" applyFont="true" applyFill="true" applyAlignment="true">
      <alignment horizontal="center" vertical="center"/>
    </xf>
    <xf numFmtId="49" fontId="1" fillId="5" borderId="0" xfId="0" applyNumberFormat="true" applyFont="true" applyFill="true" applyAlignment="true">
      <alignment horizontal="center" vertical="center"/>
    </xf>
    <xf numFmtId="0" fontId="11" fillId="0" borderId="0" xfId="0" applyFont="true" applyFill="true" applyAlignment="true">
      <alignment horizontal="center" vertical="center"/>
    </xf>
    <xf numFmtId="49" fontId="1" fillId="0" borderId="0" xfId="0" applyNumberFormat="true" applyFont="true" applyFill="true" applyAlignment="true">
      <alignment horizontal="center" vertical="center"/>
    </xf>
    <xf numFmtId="43" fontId="2" fillId="0" borderId="0" xfId="0" applyNumberFormat="true" applyFont="true" applyFill="true" applyAlignment="true">
      <alignment horizontal="left" vertical="center"/>
    </xf>
    <xf numFmtId="9" fontId="1" fillId="0" borderId="0" xfId="0" applyNumberFormat="true" applyFont="true" applyFill="true" applyAlignment="true">
      <alignment horizontal="center" vertical="center"/>
    </xf>
    <xf numFmtId="9" fontId="1" fillId="0" borderId="0" xfId="0" applyNumberFormat="true" applyFont="true" applyFill="true" applyAlignment="true">
      <alignment horizontal="left" vertical="center"/>
    </xf>
    <xf numFmtId="43" fontId="1" fillId="5" borderId="0" xfId="12" applyFont="true" applyFill="true" applyAlignment="true">
      <alignment horizontal="center" vertical="center"/>
    </xf>
    <xf numFmtId="0" fontId="2" fillId="4" borderId="0" xfId="0" applyFont="true" applyFill="true" applyAlignment="true">
      <alignment horizontal="center" vertical="center"/>
    </xf>
    <xf numFmtId="0" fontId="2" fillId="4" borderId="0" xfId="0" applyFont="true" applyFill="true" applyAlignment="true">
      <alignment horizontal="left" vertical="center"/>
    </xf>
    <xf numFmtId="43" fontId="2" fillId="4" borderId="0" xfId="12" applyFont="true" applyFill="true" applyAlignment="true">
      <alignment vertical="center"/>
    </xf>
    <xf numFmtId="9" fontId="1" fillId="0" borderId="0" xfId="51" applyFont="true" applyFill="true" applyAlignment="true">
      <alignment horizontal="center" vertical="center"/>
    </xf>
    <xf numFmtId="0" fontId="12" fillId="0" borderId="0" xfId="6" applyFont="true" applyFill="true" applyAlignment="true">
      <alignment horizontal="center" vertical="center"/>
    </xf>
    <xf numFmtId="0" fontId="12" fillId="0" borderId="0" xfId="6" applyFont="true" applyFill="true" applyAlignment="true">
      <alignment vertical="center"/>
    </xf>
    <xf numFmtId="0" fontId="13"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4" fillId="0" borderId="1" xfId="0" applyFont="true" applyFill="true" applyBorder="true" applyAlignment="true">
      <alignment vertical="center"/>
    </xf>
    <xf numFmtId="0" fontId="2" fillId="0" borderId="3" xfId="0" applyFont="true" applyFill="true" applyBorder="true" applyAlignment="true">
      <alignment horizontal="center" vertical="center"/>
    </xf>
    <xf numFmtId="0" fontId="15" fillId="0" borderId="3" xfId="0" applyFont="true" applyFill="true" applyBorder="true" applyAlignment="true">
      <alignment horizontal="center" vertical="center"/>
    </xf>
    <xf numFmtId="0" fontId="12" fillId="0" borderId="3" xfId="3" applyFont="true" applyFill="true" applyBorder="true" applyAlignment="true">
      <alignment horizontal="center" vertical="center"/>
    </xf>
    <xf numFmtId="0" fontId="12" fillId="0" borderId="3" xfId="0" applyFont="true" applyFill="true" applyBorder="true" applyAlignment="true">
      <alignment horizontal="center" vertical="center"/>
    </xf>
    <xf numFmtId="0" fontId="16" fillId="0" borderId="3" xfId="0" applyFont="true" applyFill="true" applyBorder="true" applyAlignment="true">
      <alignment horizontal="center" vertical="center"/>
    </xf>
    <xf numFmtId="0" fontId="12" fillId="0" borderId="3" xfId="0" applyFont="true" applyFill="true" applyBorder="true" applyAlignment="true">
      <alignment vertical="center"/>
    </xf>
    <xf numFmtId="0" fontId="16" fillId="0" borderId="3" xfId="0" applyFont="true" applyFill="true" applyBorder="true" applyAlignment="true">
      <alignment vertical="center"/>
    </xf>
    <xf numFmtId="0" fontId="1" fillId="0" borderId="3" xfId="3"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1" fillId="0" borderId="3" xfId="0" applyFont="true" applyFill="true" applyBorder="true" applyAlignment="true">
      <alignment vertical="center"/>
    </xf>
    <xf numFmtId="0" fontId="1" fillId="0" borderId="3" xfId="0" applyFont="true" applyFill="true" applyBorder="true" applyAlignment="true">
      <alignment vertical="center"/>
    </xf>
    <xf numFmtId="0" fontId="15" fillId="0" borderId="5" xfId="0" applyFont="true" applyFill="true" applyBorder="true" applyAlignment="true">
      <alignment horizontal="center" vertical="center"/>
    </xf>
    <xf numFmtId="0" fontId="15" fillId="0" borderId="7" xfId="0" applyFont="true" applyFill="true" applyBorder="true" applyAlignment="true">
      <alignment horizontal="center" vertical="center"/>
    </xf>
    <xf numFmtId="0" fontId="15" fillId="0" borderId="6" xfId="0" applyFont="true" applyFill="true" applyBorder="true" applyAlignment="true">
      <alignment horizontal="center" vertical="center"/>
    </xf>
    <xf numFmtId="9" fontId="13" fillId="0" borderId="0" xfId="51" applyFont="true" applyFill="true" applyBorder="true" applyAlignment="true">
      <alignment horizontal="center" vertical="center" wrapText="true"/>
    </xf>
    <xf numFmtId="43" fontId="1" fillId="0" borderId="1" xfId="28" applyFont="true" applyFill="true" applyBorder="true" applyAlignment="true">
      <alignment vertical="center"/>
    </xf>
    <xf numFmtId="9" fontId="1" fillId="0" borderId="1" xfId="51" applyFont="true" applyFill="true" applyBorder="true" applyAlignment="true">
      <alignment horizontal="center" vertical="center"/>
    </xf>
    <xf numFmtId="43" fontId="2" fillId="0" borderId="3" xfId="28"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43" fontId="1" fillId="0" borderId="3" xfId="28" applyFont="true" applyFill="true" applyBorder="true" applyAlignment="true">
      <alignment vertical="center"/>
    </xf>
    <xf numFmtId="9" fontId="1" fillId="0" borderId="3" xfId="51" applyNumberFormat="true" applyFont="true" applyFill="true" applyBorder="true" applyAlignment="true">
      <alignment horizontal="center" vertical="center"/>
    </xf>
    <xf numFmtId="0" fontId="12" fillId="0" borderId="3" xfId="0" applyFont="true" applyFill="true" applyBorder="true" applyAlignment="true">
      <alignment horizontal="center" vertical="center" wrapText="true"/>
    </xf>
    <xf numFmtId="43" fontId="2" fillId="0" borderId="3" xfId="28" applyFont="true" applyFill="true" applyBorder="true" applyAlignment="true">
      <alignment vertical="center"/>
    </xf>
    <xf numFmtId="0" fontId="2" fillId="0" borderId="0" xfId="0" applyFont="true" applyFill="true" applyBorder="true" applyAlignment="true">
      <alignment horizontal="center" vertical="center"/>
    </xf>
    <xf numFmtId="43" fontId="11" fillId="0" borderId="1" xfId="28" applyFont="true" applyFill="true" applyBorder="true" applyAlignment="true">
      <alignment horizontal="right" vertical="center"/>
    </xf>
    <xf numFmtId="43" fontId="1" fillId="0" borderId="0" xfId="28" applyFont="true" applyFill="true" applyBorder="true" applyAlignment="true">
      <alignment horizontal="right" vertical="center"/>
    </xf>
    <xf numFmtId="49" fontId="1" fillId="0" borderId="1" xfId="0" applyNumberFormat="true" applyFont="true" applyFill="true" applyBorder="true" applyAlignment="true">
      <alignment horizontal="center" vertical="center"/>
    </xf>
    <xf numFmtId="49" fontId="1" fillId="0" borderId="0" xfId="0" applyNumberFormat="true" applyFont="true" applyFill="true" applyBorder="true" applyAlignment="true">
      <alignment horizontal="center" vertical="center"/>
    </xf>
    <xf numFmtId="0" fontId="15" fillId="0" borderId="3" xfId="0"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1" fillId="0" borderId="3" xfId="0" applyFont="true" applyFill="true" applyBorder="true" applyAlignment="true">
      <alignment horizontal="center" vertical="center"/>
    </xf>
    <xf numFmtId="0" fontId="12" fillId="0" borderId="0" xfId="6" applyFont="true" applyFill="true" applyBorder="true" applyAlignment="true">
      <alignment horizontal="center" vertical="center"/>
    </xf>
    <xf numFmtId="0" fontId="12" fillId="0" borderId="0" xfId="6" applyFont="true" applyFill="true" applyBorder="true" applyAlignment="true">
      <alignment vertical="center"/>
    </xf>
    <xf numFmtId="43" fontId="1" fillId="0" borderId="3" xfId="28" applyFont="true" applyFill="true" applyBorder="true" applyAlignment="true">
      <alignment horizontal="center" vertical="center"/>
    </xf>
    <xf numFmtId="0" fontId="1" fillId="0" borderId="3" xfId="28" applyNumberFormat="true" applyFont="true" applyFill="true" applyBorder="true" applyAlignment="true">
      <alignment horizontal="center" vertical="center" wrapText="true"/>
    </xf>
    <xf numFmtId="0" fontId="12" fillId="0" borderId="3" xfId="6" applyFont="true" applyFill="true" applyBorder="true" applyAlignment="true">
      <alignment horizontal="center" vertical="center"/>
    </xf>
    <xf numFmtId="0" fontId="12" fillId="0" borderId="3" xfId="6" applyFont="true" applyFill="true" applyBorder="true" applyAlignment="true">
      <alignment vertical="center"/>
    </xf>
    <xf numFmtId="43" fontId="12" fillId="0" borderId="0" xfId="6" applyNumberFormat="true" applyFont="true" applyFill="true" applyAlignment="true">
      <alignment vertical="center"/>
    </xf>
    <xf numFmtId="0" fontId="11" fillId="0" borderId="0" xfId="0" applyFont="true" applyFill="true" applyAlignment="true">
      <alignment vertical="center"/>
    </xf>
    <xf numFmtId="176" fontId="1" fillId="0" borderId="0" xfId="51" applyNumberFormat="true" applyFont="true" applyFill="true" applyAlignment="true">
      <alignment horizontal="center" vertical="center"/>
    </xf>
    <xf numFmtId="43" fontId="17" fillId="0" borderId="0" xfId="6" applyNumberFormat="true" applyFont="true" applyFill="true" applyAlignment="true">
      <alignment vertical="center"/>
    </xf>
    <xf numFmtId="0" fontId="1" fillId="5" borderId="0" xfId="0" applyFont="true" applyFill="true" applyAlignment="true">
      <alignment vertical="center"/>
    </xf>
    <xf numFmtId="0" fontId="1" fillId="2" borderId="0" xfId="0" applyFont="true" applyFill="true" applyAlignment="true">
      <alignment vertical="center"/>
    </xf>
    <xf numFmtId="0" fontId="14" fillId="0" borderId="3" xfId="0" applyFont="true" applyFill="true" applyBorder="true" applyAlignment="true">
      <alignment vertical="center"/>
    </xf>
    <xf numFmtId="0" fontId="12" fillId="5" borderId="3" xfId="3" applyFont="true" applyFill="true" applyBorder="true" applyAlignment="true">
      <alignment horizontal="center" vertical="center"/>
    </xf>
    <xf numFmtId="0" fontId="12" fillId="5" borderId="3" xfId="0" applyFont="true" applyFill="true" applyBorder="true" applyAlignment="true">
      <alignment horizontal="center" vertical="center"/>
    </xf>
    <xf numFmtId="0" fontId="12" fillId="5" borderId="3" xfId="0" applyFont="true" applyFill="true" applyBorder="true" applyAlignment="true">
      <alignment vertical="center"/>
    </xf>
    <xf numFmtId="0" fontId="12" fillId="2" borderId="3" xfId="3" applyFont="true" applyFill="true" applyBorder="true" applyAlignment="true">
      <alignment horizontal="center" vertical="center"/>
    </xf>
    <xf numFmtId="0" fontId="12" fillId="2" borderId="3" xfId="0" applyFont="true" applyFill="true" applyBorder="true" applyAlignment="true">
      <alignment horizontal="center" vertical="center"/>
    </xf>
    <xf numFmtId="0" fontId="12" fillId="2" borderId="3" xfId="0" applyFont="true" applyFill="true" applyBorder="true" applyAlignment="true">
      <alignment vertical="center"/>
    </xf>
    <xf numFmtId="0" fontId="1" fillId="2" borderId="3" xfId="3" applyFont="true" applyFill="true" applyBorder="true" applyAlignment="true">
      <alignment horizontal="center" vertical="center"/>
    </xf>
    <xf numFmtId="0" fontId="1" fillId="2" borderId="3" xfId="0" applyFont="true" applyFill="true" applyBorder="true" applyAlignment="true">
      <alignment horizontal="center" vertical="center"/>
    </xf>
    <xf numFmtId="0" fontId="1" fillId="2" borderId="3" xfId="0" applyFont="true" applyFill="true" applyBorder="true" applyAlignment="true">
      <alignment vertical="center"/>
    </xf>
    <xf numFmtId="0" fontId="1" fillId="5" borderId="3" xfId="3" applyFont="true" applyFill="true" applyBorder="true" applyAlignment="true">
      <alignment horizontal="center" vertical="center"/>
    </xf>
    <xf numFmtId="0" fontId="1" fillId="5" borderId="3" xfId="0" applyFont="true" applyFill="true" applyBorder="true" applyAlignment="true">
      <alignment horizontal="center" vertical="center"/>
    </xf>
    <xf numFmtId="0" fontId="11" fillId="5" borderId="3" xfId="0" applyFont="true" applyFill="true" applyBorder="true" applyAlignment="true">
      <alignment vertical="center"/>
    </xf>
    <xf numFmtId="9" fontId="2" fillId="0" borderId="3" xfId="51" applyFont="true" applyFill="true" applyBorder="true" applyAlignment="true">
      <alignment horizontal="center" vertical="center"/>
    </xf>
    <xf numFmtId="9" fontId="1" fillId="0" borderId="3" xfId="51" applyFont="true" applyFill="true" applyBorder="true" applyAlignment="true">
      <alignment horizontal="center" vertical="center"/>
    </xf>
    <xf numFmtId="43" fontId="1" fillId="0" borderId="3" xfId="28" applyFont="true" applyFill="true" applyBorder="true" applyAlignment="true">
      <alignment horizontal="right" vertical="center"/>
    </xf>
    <xf numFmtId="43" fontId="1" fillId="5" borderId="3" xfId="28" applyFont="true" applyFill="true" applyBorder="true" applyAlignment="true">
      <alignment vertical="center"/>
    </xf>
    <xf numFmtId="9" fontId="1" fillId="5" borderId="3" xfId="51" applyNumberFormat="true" applyFont="true" applyFill="true" applyBorder="true" applyAlignment="true">
      <alignment horizontal="center" vertical="center"/>
    </xf>
    <xf numFmtId="0" fontId="12" fillId="2" borderId="3" xfId="0" applyFont="true" applyFill="true" applyBorder="true" applyAlignment="true">
      <alignment horizontal="center" vertical="center" wrapText="true"/>
    </xf>
    <xf numFmtId="43" fontId="1" fillId="2" borderId="3" xfId="28" applyFont="true" applyFill="true" applyBorder="true" applyAlignment="true">
      <alignment vertical="center"/>
    </xf>
    <xf numFmtId="9" fontId="1" fillId="2" borderId="3" xfId="51" applyNumberFormat="true" applyFont="true" applyFill="true" applyBorder="true" applyAlignment="true">
      <alignment horizontal="center" vertical="center"/>
    </xf>
    <xf numFmtId="0" fontId="12" fillId="5" borderId="3" xfId="0" applyFont="true" applyFill="true" applyBorder="true" applyAlignment="true">
      <alignment horizontal="center" vertical="center" wrapText="true"/>
    </xf>
    <xf numFmtId="43" fontId="1" fillId="5" borderId="3" xfId="28" applyFont="true" applyFill="true" applyBorder="true" applyAlignment="true">
      <alignment horizontal="center" vertical="center"/>
    </xf>
    <xf numFmtId="43" fontId="1" fillId="2" borderId="3" xfId="28" applyFont="true" applyFill="true" applyBorder="true" applyAlignment="true">
      <alignment horizontal="center" vertical="center"/>
    </xf>
    <xf numFmtId="43" fontId="1" fillId="0" borderId="3" xfId="28"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0" fontId="1" fillId="5" borderId="3" xfId="0" applyFont="true" applyFill="true" applyBorder="true" applyAlignment="true">
      <alignment horizontal="center" vertical="center" wrapText="true"/>
    </xf>
    <xf numFmtId="0" fontId="4" fillId="3" borderId="0" xfId="0" applyFont="true" applyFill="true" applyAlignment="true">
      <alignment vertical="center"/>
    </xf>
    <xf numFmtId="0" fontId="4" fillId="2" borderId="0" xfId="0" applyFont="true" applyFill="true" applyAlignment="true">
      <alignment vertical="center"/>
    </xf>
    <xf numFmtId="0" fontId="4" fillId="0" borderId="0" xfId="0" applyFont="true" applyFill="true" applyAlignment="true">
      <alignment vertical="center"/>
    </xf>
    <xf numFmtId="0" fontId="4" fillId="6" borderId="0" xfId="0" applyFont="true" applyFill="true" applyAlignment="true">
      <alignment vertical="center"/>
    </xf>
    <xf numFmtId="0" fontId="10" fillId="3" borderId="0" xfId="0" applyFont="true" applyFill="true" applyAlignment="true">
      <alignment vertical="center"/>
    </xf>
    <xf numFmtId="0" fontId="4" fillId="6" borderId="0" xfId="0" applyFont="true" applyFill="true" applyAlignment="true">
      <alignment vertical="center" wrapText="true"/>
    </xf>
    <xf numFmtId="0" fontId="4" fillId="0" borderId="0" xfId="0" applyFont="true" applyAlignment="true">
      <alignment vertical="center" wrapText="true"/>
    </xf>
    <xf numFmtId="0" fontId="4" fillId="0" borderId="0" xfId="0" applyFont="true" applyAlignment="true">
      <alignment horizontal="left" vertical="center"/>
    </xf>
    <xf numFmtId="0" fontId="18" fillId="0" borderId="0" xfId="0" applyFont="true" applyAlignment="true">
      <alignment vertical="center"/>
    </xf>
    <xf numFmtId="0" fontId="19" fillId="0" borderId="0" xfId="0" applyFont="true" applyAlignment="true">
      <alignment vertical="center"/>
    </xf>
    <xf numFmtId="0" fontId="20" fillId="0" borderId="0" xfId="0" applyFont="true" applyBorder="true" applyAlignment="true">
      <alignment horizontal="center" vertical="center"/>
    </xf>
    <xf numFmtId="0" fontId="18" fillId="0" borderId="1" xfId="0" applyFont="true" applyBorder="true" applyAlignment="true">
      <alignment horizontal="center" vertical="center"/>
    </xf>
    <xf numFmtId="0" fontId="21" fillId="0" borderId="3" xfId="0" applyFont="true" applyFill="true" applyBorder="true" applyAlignment="true">
      <alignment horizontal="center" vertical="center"/>
    </xf>
    <xf numFmtId="0" fontId="22" fillId="0" borderId="3" xfId="0" applyFont="true" applyFill="true" applyBorder="true" applyAlignment="true">
      <alignment horizontal="center" vertical="center"/>
    </xf>
    <xf numFmtId="0" fontId="23" fillId="0" borderId="3" xfId="0" applyFont="true" applyFill="true" applyBorder="true" applyAlignment="true">
      <alignment horizontal="center" vertical="center"/>
    </xf>
    <xf numFmtId="0" fontId="24" fillId="0" borderId="3" xfId="3" applyFont="true" applyFill="true" applyBorder="true" applyAlignment="true">
      <alignment horizontal="center" vertical="center"/>
    </xf>
    <xf numFmtId="0" fontId="25" fillId="0" borderId="3" xfId="0" applyFont="true" applyFill="true" applyBorder="true" applyAlignment="true">
      <alignment horizontal="center" vertical="center" wrapText="true"/>
    </xf>
    <xf numFmtId="0" fontId="26" fillId="0" borderId="0" xfId="0" applyFont="true" applyAlignment="true">
      <alignment horizontal="center" vertical="center"/>
    </xf>
    <xf numFmtId="0" fontId="18" fillId="0" borderId="0" xfId="0" applyFont="true" applyAlignment="true">
      <alignment horizontal="center" vertical="center"/>
    </xf>
    <xf numFmtId="0" fontId="21" fillId="0" borderId="3" xfId="0" applyFont="true" applyFill="true" applyBorder="true" applyAlignment="true">
      <alignment horizontal="center" vertical="center" wrapText="true"/>
    </xf>
    <xf numFmtId="0" fontId="21" fillId="0" borderId="0" xfId="0" applyFont="true" applyFill="true" applyAlignment="true">
      <alignment horizontal="center" vertical="center" wrapText="true"/>
    </xf>
    <xf numFmtId="43" fontId="22" fillId="0" borderId="3" xfId="28" applyFont="true" applyFill="true" applyBorder="true" applyAlignment="true">
      <alignment vertical="center"/>
    </xf>
    <xf numFmtId="43" fontId="21" fillId="0" borderId="0" xfId="28" applyFont="true" applyFill="true" applyAlignment="true">
      <alignment horizontal="center" vertical="center"/>
    </xf>
    <xf numFmtId="43" fontId="27" fillId="0" borderId="3" xfId="28" applyFont="true" applyFill="true" applyBorder="true" applyAlignment="true">
      <alignment vertical="center"/>
    </xf>
    <xf numFmtId="43" fontId="28" fillId="0" borderId="0" xfId="28" applyFont="true" applyFill="true" applyAlignment="true">
      <alignment vertical="center"/>
    </xf>
    <xf numFmtId="0" fontId="0" fillId="5" borderId="0" xfId="0" applyFill="true"/>
    <xf numFmtId="0" fontId="0" fillId="3" borderId="0" xfId="0" applyFill="true"/>
  </cellXfs>
  <cellStyles count="60">
    <cellStyle name="常规" xfId="0" builtinId="0"/>
    <cellStyle name="常规 5" xfId="1"/>
    <cellStyle name="常规 4" xfId="2"/>
    <cellStyle name="常规 2" xfId="3"/>
    <cellStyle name="常规 3 2" xfId="4"/>
    <cellStyle name="百分比 2" xfId="5"/>
    <cellStyle name="常规 6" xfId="6"/>
    <cellStyle name="60% - 强调文字颜色 6" xfId="7" builtinId="52"/>
    <cellStyle name="20% - 强调文字颜色 6" xfId="8" builtinId="50"/>
    <cellStyle name="输出" xfId="9" builtinId="21"/>
    <cellStyle name="检查单元格" xfId="10" builtinId="23"/>
    <cellStyle name="差" xfId="11" builtinId="27"/>
    <cellStyle name="千位分隔 2" xfId="12"/>
    <cellStyle name="标题 1" xfId="13" builtinId="16"/>
    <cellStyle name="解释性文本" xfId="14" builtinId="53"/>
    <cellStyle name="标题 2" xfId="15" builtinId="17"/>
    <cellStyle name="常规 2 3" xfId="16"/>
    <cellStyle name="40% - 强调文字颜色 5" xfId="17" builtinId="47"/>
    <cellStyle name="千位分隔[0]" xfId="18" builtinId="6"/>
    <cellStyle name="常规 2 4" xfId="19"/>
    <cellStyle name="40% - 强调文字颜色 6" xfId="20" builtinId="51"/>
    <cellStyle name="超链接" xfId="21" builtinId="8"/>
    <cellStyle name="强调文字颜色 5" xfId="22" builtinId="45"/>
    <cellStyle name="标题 3" xfId="23" builtinId="18"/>
    <cellStyle name="汇总" xfId="24" builtinId="25"/>
    <cellStyle name="20% - 强调文字颜色 1" xfId="25" builtinId="30"/>
    <cellStyle name="40% - 强调文字颜色 1" xfId="26" builtinId="31"/>
    <cellStyle name="强调文字颜色 6" xfId="27" builtinId="49"/>
    <cellStyle name="千位分隔" xfId="28" builtinId="3"/>
    <cellStyle name="标题" xfId="29" builtinId="15"/>
    <cellStyle name="已访问的超链接" xfId="30" builtinId="9"/>
    <cellStyle name="常规 2 2" xfId="31"/>
    <cellStyle name="40% - 强调文字颜色 4" xfId="32" builtinId="43"/>
    <cellStyle name="常规 3" xfId="33"/>
    <cellStyle name="链接单元格" xfId="34" builtinId="24"/>
    <cellStyle name="标题 4" xfId="35" builtinId="19"/>
    <cellStyle name="20% - 强调文字颜色 2" xfId="36" builtinId="34"/>
    <cellStyle name="货币[0]" xfId="37" builtinId="7"/>
    <cellStyle name="警告文本" xfId="38" builtinId="11"/>
    <cellStyle name="40% - 强调文字颜色 2" xfId="39" builtinId="35"/>
    <cellStyle name="注释" xfId="40" builtinId="10"/>
    <cellStyle name="60% - 强调文字颜色 3" xfId="41" builtinId="40"/>
    <cellStyle name="好" xfId="42" builtinId="26"/>
    <cellStyle name="20% - 强调文字颜色 5" xfId="43" builtinId="46"/>
    <cellStyle name="适中" xfId="44" builtinId="28"/>
    <cellStyle name="计算" xfId="45" builtinId="22"/>
    <cellStyle name="强调文字颜色 1" xfId="46" builtinId="29"/>
    <cellStyle name="60% - 强调文字颜色 4" xfId="47" builtinId="44"/>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G13" sqref="G1 G4 G7:G9 G13:G15"/>
    </sheetView>
  </sheetViews>
  <sheetFormatPr defaultColWidth="9" defaultRowHeight="13.5"/>
  <cols>
    <col min="2" max="3" width="8.775" hidden="true" customWidth="true"/>
    <col min="4" max="4" width="18.1083333333333" hidden="true" customWidth="true"/>
    <col min="5" max="6" width="8.775" hidden="true" customWidth="true"/>
  </cols>
  <sheetData>
    <row r="1" spans="1:9">
      <c r="A1" t="s">
        <v>0</v>
      </c>
      <c r="B1">
        <v>200</v>
      </c>
      <c r="C1">
        <f>(B1+D1)*7</f>
        <v>1668.87</v>
      </c>
      <c r="D1">
        <v>38.41</v>
      </c>
      <c r="F1">
        <v>460.35</v>
      </c>
      <c r="G1" s="179">
        <f>C1+F1</f>
        <v>2129.22</v>
      </c>
      <c r="I1" t="s">
        <v>1</v>
      </c>
    </row>
    <row r="2" spans="1:7">
      <c r="A2" t="s">
        <v>2</v>
      </c>
      <c r="B2">
        <v>100</v>
      </c>
      <c r="C2">
        <f t="shared" ref="C2:C17" si="0">(B2+D2)*7</f>
        <v>968.87</v>
      </c>
      <c r="D2">
        <v>38.41</v>
      </c>
      <c r="F2">
        <v>460.35</v>
      </c>
      <c r="G2">
        <f t="shared" ref="G2:G17" si="1">C2+F2</f>
        <v>1429.22</v>
      </c>
    </row>
    <row r="3" spans="1:7">
      <c r="A3" t="s">
        <v>3</v>
      </c>
      <c r="B3">
        <v>100</v>
      </c>
      <c r="C3">
        <f t="shared" si="0"/>
        <v>968.87</v>
      </c>
      <c r="D3">
        <v>38.41</v>
      </c>
      <c r="F3">
        <v>460.35</v>
      </c>
      <c r="G3">
        <f t="shared" si="1"/>
        <v>1429.22</v>
      </c>
    </row>
    <row r="4" spans="1:7">
      <c r="A4" s="178" t="s">
        <v>4</v>
      </c>
      <c r="B4" s="178">
        <v>100</v>
      </c>
      <c r="C4" s="178">
        <f t="shared" si="0"/>
        <v>968.87</v>
      </c>
      <c r="D4" s="178">
        <v>38.41</v>
      </c>
      <c r="E4" s="178"/>
      <c r="F4" s="178">
        <v>460.35</v>
      </c>
      <c r="G4" s="179">
        <f t="shared" si="1"/>
        <v>1429.22</v>
      </c>
    </row>
    <row r="5" spans="1:7">
      <c r="A5" t="s">
        <v>5</v>
      </c>
      <c r="B5">
        <v>100</v>
      </c>
      <c r="C5">
        <f t="shared" si="0"/>
        <v>968.87</v>
      </c>
      <c r="D5">
        <v>38.41</v>
      </c>
      <c r="F5">
        <v>460.35</v>
      </c>
      <c r="G5">
        <f t="shared" si="1"/>
        <v>1429.22</v>
      </c>
    </row>
    <row r="6" spans="1:7">
      <c r="A6" t="s">
        <v>6</v>
      </c>
      <c r="B6">
        <v>100</v>
      </c>
      <c r="C6">
        <f t="shared" si="0"/>
        <v>968.87</v>
      </c>
      <c r="D6">
        <v>38.41</v>
      </c>
      <c r="F6">
        <v>460.35</v>
      </c>
      <c r="G6">
        <f t="shared" si="1"/>
        <v>1429.22</v>
      </c>
    </row>
    <row r="7" spans="1:7">
      <c r="A7" s="178" t="s">
        <v>7</v>
      </c>
      <c r="B7" s="178">
        <v>1052</v>
      </c>
      <c r="C7" s="178">
        <f t="shared" si="0"/>
        <v>7632.87</v>
      </c>
      <c r="D7" s="178">
        <v>38.41</v>
      </c>
      <c r="E7" s="178"/>
      <c r="F7" s="178">
        <v>460.35</v>
      </c>
      <c r="G7" s="179">
        <f t="shared" si="1"/>
        <v>8093.22</v>
      </c>
    </row>
    <row r="8" spans="1:7">
      <c r="A8" s="178" t="s">
        <v>8</v>
      </c>
      <c r="B8" s="178">
        <v>701</v>
      </c>
      <c r="C8" s="178">
        <f t="shared" si="0"/>
        <v>5175.87</v>
      </c>
      <c r="D8" s="178">
        <v>38.41</v>
      </c>
      <c r="E8" s="178"/>
      <c r="F8" s="178">
        <v>460.35</v>
      </c>
      <c r="G8" s="179">
        <f t="shared" si="1"/>
        <v>5636.22</v>
      </c>
    </row>
    <row r="9" spans="1:7">
      <c r="A9" s="178" t="s">
        <v>9</v>
      </c>
      <c r="B9" s="178">
        <v>248</v>
      </c>
      <c r="C9" s="178">
        <f t="shared" si="0"/>
        <v>2004.87</v>
      </c>
      <c r="D9" s="178">
        <v>38.41</v>
      </c>
      <c r="E9" s="178"/>
      <c r="F9" s="178">
        <v>460.35</v>
      </c>
      <c r="G9" s="179">
        <f t="shared" si="1"/>
        <v>2465.22</v>
      </c>
    </row>
    <row r="10" spans="1:7">
      <c r="A10" t="s">
        <v>10</v>
      </c>
      <c r="B10">
        <v>932</v>
      </c>
      <c r="C10">
        <f t="shared" si="0"/>
        <v>6792.87</v>
      </c>
      <c r="D10">
        <v>38.41</v>
      </c>
      <c r="F10">
        <v>460.35</v>
      </c>
      <c r="G10">
        <f t="shared" si="1"/>
        <v>7253.22</v>
      </c>
    </row>
    <row r="11" spans="1:7">
      <c r="A11" t="s">
        <v>11</v>
      </c>
      <c r="B11">
        <v>444</v>
      </c>
      <c r="C11">
        <f t="shared" si="0"/>
        <v>3376.87</v>
      </c>
      <c r="D11">
        <v>38.41</v>
      </c>
      <c r="F11">
        <v>460.35</v>
      </c>
      <c r="G11">
        <f t="shared" si="1"/>
        <v>3837.22</v>
      </c>
    </row>
    <row r="12" spans="1:7">
      <c r="A12" t="s">
        <v>12</v>
      </c>
      <c r="B12">
        <v>596</v>
      </c>
      <c r="C12">
        <f t="shared" si="0"/>
        <v>4440.87</v>
      </c>
      <c r="D12">
        <v>38.41</v>
      </c>
      <c r="F12">
        <v>460.35</v>
      </c>
      <c r="G12">
        <f t="shared" si="1"/>
        <v>4901.22</v>
      </c>
    </row>
    <row r="13" spans="1:7">
      <c r="A13" s="178" t="s">
        <v>13</v>
      </c>
      <c r="B13" s="178">
        <v>372</v>
      </c>
      <c r="C13" s="178">
        <f t="shared" si="0"/>
        <v>2872.87</v>
      </c>
      <c r="D13" s="178">
        <v>38.41</v>
      </c>
      <c r="E13" s="178"/>
      <c r="F13" s="178">
        <v>460.35</v>
      </c>
      <c r="G13" s="179">
        <f t="shared" si="1"/>
        <v>3333.22</v>
      </c>
    </row>
    <row r="14" spans="1:7">
      <c r="A14" s="178" t="s">
        <v>14</v>
      </c>
      <c r="B14" s="178">
        <v>464</v>
      </c>
      <c r="C14" s="178">
        <f t="shared" si="0"/>
        <v>3516.87</v>
      </c>
      <c r="D14" s="178">
        <v>38.41</v>
      </c>
      <c r="E14" s="178"/>
      <c r="F14" s="178">
        <v>460.35</v>
      </c>
      <c r="G14" s="179">
        <f t="shared" si="1"/>
        <v>3977.22</v>
      </c>
    </row>
    <row r="15" spans="1:7">
      <c r="A15" s="178" t="s">
        <v>15</v>
      </c>
      <c r="B15" s="178">
        <v>968</v>
      </c>
      <c r="C15" s="178">
        <f t="shared" si="0"/>
        <v>7044.87</v>
      </c>
      <c r="D15" s="178">
        <v>38.41</v>
      </c>
      <c r="E15" s="178"/>
      <c r="F15" s="178">
        <v>460.35</v>
      </c>
      <c r="G15" s="179">
        <f t="shared" si="1"/>
        <v>7505.22</v>
      </c>
    </row>
    <row r="16" spans="1:7">
      <c r="A16" t="s">
        <v>16</v>
      </c>
      <c r="B16">
        <v>1552</v>
      </c>
      <c r="C16">
        <f t="shared" si="0"/>
        <v>11132.87</v>
      </c>
      <c r="D16">
        <v>38.41</v>
      </c>
      <c r="F16">
        <v>460.35</v>
      </c>
      <c r="G16">
        <f t="shared" si="1"/>
        <v>11593.22</v>
      </c>
    </row>
    <row r="17" spans="1:7">
      <c r="A17" t="s">
        <v>17</v>
      </c>
      <c r="B17">
        <v>200</v>
      </c>
      <c r="C17">
        <f t="shared" si="0"/>
        <v>1668.87</v>
      </c>
      <c r="D17">
        <v>38.41</v>
      </c>
      <c r="F17">
        <v>460.35</v>
      </c>
      <c r="G17">
        <f t="shared" si="1"/>
        <v>2129.22</v>
      </c>
    </row>
    <row r="18" spans="3:7">
      <c r="C18">
        <f>SUM(C1:C17)</f>
        <v>62173.79</v>
      </c>
      <c r="D18" t="s">
        <v>18</v>
      </c>
      <c r="F18" t="s">
        <v>19</v>
      </c>
      <c r="G18">
        <f>SUM(G1:G17)</f>
        <v>69999.74</v>
      </c>
    </row>
    <row r="19" spans="1:1">
      <c r="A19" t="s">
        <v>20</v>
      </c>
    </row>
    <row r="20" spans="1:1">
      <c r="A20" t="s">
        <v>21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pane xSplit="2" ySplit="1" topLeftCell="C2" activePane="bottomRight" state="frozen"/>
      <selection/>
      <selection pane="topRight"/>
      <selection pane="bottomLeft"/>
      <selection pane="bottomRight" activeCell="F13" sqref="F13"/>
    </sheetView>
  </sheetViews>
  <sheetFormatPr defaultColWidth="9" defaultRowHeight="18" customHeight="true" outlineLevelCol="5"/>
  <cols>
    <col min="1" max="1" width="8.88333333333333" style="1"/>
    <col min="2" max="2" width="35.5583333333333" style="2" customWidth="true"/>
    <col min="3" max="3" width="22.1083333333333" style="2" customWidth="true"/>
    <col min="4" max="4" width="8.88333333333333" style="2" customWidth="true"/>
    <col min="5" max="5" width="8.88333333333333" style="1"/>
    <col min="6" max="16384" width="8.88333333333333" style="2"/>
  </cols>
  <sheetData>
    <row r="1" s="1" customFormat="true" customHeight="true" spans="4:6">
      <c r="D1" s="1" t="s">
        <v>1012</v>
      </c>
      <c r="E1" s="1" t="s">
        <v>1013</v>
      </c>
      <c r="F1" s="1" t="s">
        <v>1014</v>
      </c>
    </row>
    <row r="2" customHeight="true" spans="1:2">
      <c r="A2" s="1">
        <v>1</v>
      </c>
      <c r="B2" s="2" t="s">
        <v>1015</v>
      </c>
    </row>
    <row r="3" customHeight="true" spans="1:2">
      <c r="A3" s="1">
        <v>2</v>
      </c>
      <c r="B3" s="2" t="s">
        <v>1016</v>
      </c>
    </row>
    <row r="4" customHeight="true" spans="1:2">
      <c r="A4" s="1">
        <v>3</v>
      </c>
      <c r="B4" s="2" t="s">
        <v>1017</v>
      </c>
    </row>
    <row r="5" customHeight="true" spans="1:2">
      <c r="A5" s="1">
        <v>4</v>
      </c>
      <c r="B5" s="2" t="s">
        <v>1018</v>
      </c>
    </row>
    <row r="6" customHeight="true" spans="1:2">
      <c r="A6" s="1">
        <v>5</v>
      </c>
      <c r="B6" s="2" t="s">
        <v>1019</v>
      </c>
    </row>
    <row r="7" customHeight="true" spans="1:2">
      <c r="A7" s="1">
        <v>6</v>
      </c>
      <c r="B7" s="2" t="s">
        <v>1020</v>
      </c>
    </row>
    <row r="8" customHeight="true" spans="1:2">
      <c r="A8" s="1">
        <v>7</v>
      </c>
      <c r="B8" s="2" t="s">
        <v>1021</v>
      </c>
    </row>
    <row r="9" customHeight="true" spans="1:2">
      <c r="A9" s="1">
        <v>8</v>
      </c>
      <c r="B9" s="2" t="s">
        <v>1022</v>
      </c>
    </row>
    <row r="10" customHeight="true" spans="1:2">
      <c r="A10" s="1">
        <v>9</v>
      </c>
      <c r="B10" s="2" t="s">
        <v>1023</v>
      </c>
    </row>
    <row r="11" customHeight="true" spans="1:2">
      <c r="A11" s="1">
        <v>10</v>
      </c>
      <c r="B11" s="2" t="s">
        <v>1024</v>
      </c>
    </row>
    <row r="12" customHeight="true" spans="1:2">
      <c r="A12" s="1">
        <v>11</v>
      </c>
      <c r="B12" s="2" t="s">
        <v>1025</v>
      </c>
    </row>
    <row r="13" customHeight="true" spans="1:2">
      <c r="A13" s="1">
        <v>12</v>
      </c>
      <c r="B13" s="2" t="s">
        <v>1026</v>
      </c>
    </row>
    <row r="14" customHeight="true" spans="1:2">
      <c r="A14" s="1">
        <v>13</v>
      </c>
      <c r="B14" s="2" t="s">
        <v>313</v>
      </c>
    </row>
    <row r="15" customHeight="true" spans="1:2">
      <c r="A15" s="1">
        <v>14</v>
      </c>
      <c r="B15" s="2" t="s">
        <v>1027</v>
      </c>
    </row>
    <row r="16" customHeight="true" spans="1:2">
      <c r="A16" s="1">
        <v>15</v>
      </c>
      <c r="B16" s="2" t="s">
        <v>1028</v>
      </c>
    </row>
    <row r="17" customHeight="true" spans="1:2">
      <c r="A17" s="1">
        <v>16</v>
      </c>
      <c r="B17" s="2" t="s">
        <v>183</v>
      </c>
    </row>
    <row r="18" customHeight="true" spans="1:2">
      <c r="A18" s="1">
        <v>17</v>
      </c>
      <c r="B18" s="2" t="s">
        <v>1029</v>
      </c>
    </row>
    <row r="19" customHeight="true" spans="1:2">
      <c r="A19" s="1">
        <v>18</v>
      </c>
      <c r="B19" s="2" t="s">
        <v>1030</v>
      </c>
    </row>
    <row r="20" customHeight="true" spans="1:2">
      <c r="A20" s="1">
        <v>19</v>
      </c>
      <c r="B20" s="2" t="s">
        <v>1031</v>
      </c>
    </row>
    <row r="21" customHeight="true" spans="1:2">
      <c r="A21" s="3">
        <v>20</v>
      </c>
      <c r="B21" s="4" t="s">
        <v>318</v>
      </c>
    </row>
    <row r="22" customHeight="true" spans="1:2">
      <c r="A22" s="1">
        <v>21</v>
      </c>
      <c r="B22" s="2" t="s">
        <v>1032</v>
      </c>
    </row>
    <row r="23" customHeight="true" spans="1:2">
      <c r="A23" s="1">
        <v>22</v>
      </c>
      <c r="B23" s="2" t="s">
        <v>1033</v>
      </c>
    </row>
    <row r="24" customHeight="true" spans="1:2">
      <c r="A24" s="1">
        <v>23</v>
      </c>
      <c r="B24" s="2" t="s">
        <v>1034</v>
      </c>
    </row>
    <row r="25" customHeight="true" spans="1:2">
      <c r="A25" s="1">
        <v>24</v>
      </c>
      <c r="B25" s="2" t="s">
        <v>1035</v>
      </c>
    </row>
    <row r="26" customHeight="true" spans="1:2">
      <c r="A26" s="1">
        <v>25</v>
      </c>
      <c r="B26" s="2" t="s">
        <v>1036</v>
      </c>
    </row>
    <row r="27" customHeight="true" spans="1:2">
      <c r="A27" s="1">
        <v>26</v>
      </c>
      <c r="B27" s="2" t="s">
        <v>1037</v>
      </c>
    </row>
    <row r="28" customHeight="true" spans="1:2">
      <c r="A28" s="1">
        <v>27</v>
      </c>
      <c r="B28" s="2" t="s">
        <v>1038</v>
      </c>
    </row>
    <row r="29" customHeight="true" spans="1:2">
      <c r="A29" s="1">
        <v>28</v>
      </c>
      <c r="B29" s="2" t="s">
        <v>1039</v>
      </c>
    </row>
    <row r="30" customHeight="true" spans="1:2">
      <c r="A30" s="3">
        <v>29</v>
      </c>
      <c r="B30" s="4" t="s">
        <v>320</v>
      </c>
    </row>
    <row r="31" customHeight="true" spans="1:2">
      <c r="A31" s="1">
        <v>30</v>
      </c>
      <c r="B31" s="2" t="s">
        <v>1040</v>
      </c>
    </row>
    <row r="32" customHeight="true" spans="1:2">
      <c r="A32" s="1">
        <v>31</v>
      </c>
      <c r="B32" s="2" t="s">
        <v>322</v>
      </c>
    </row>
    <row r="33" customHeight="true" spans="1:2">
      <c r="A33" s="1">
        <v>32</v>
      </c>
      <c r="B33" s="2" t="s">
        <v>1041</v>
      </c>
    </row>
    <row r="34" customHeight="true" spans="1:2">
      <c r="A34" s="1">
        <v>33</v>
      </c>
      <c r="B34" s="2" t="s">
        <v>1042</v>
      </c>
    </row>
    <row r="35" customHeight="true" spans="1:2">
      <c r="A35" s="1">
        <v>34</v>
      </c>
      <c r="B35" s="2" t="s">
        <v>1043</v>
      </c>
    </row>
    <row r="36" customHeight="true" spans="1:2">
      <c r="A36" s="3">
        <v>35</v>
      </c>
      <c r="B36" s="4" t="s">
        <v>327</v>
      </c>
    </row>
    <row r="37" customHeight="true" spans="1:2">
      <c r="A37" s="1">
        <v>36</v>
      </c>
      <c r="B37" s="2" t="s">
        <v>1044</v>
      </c>
    </row>
    <row r="38" customHeight="true" spans="1:2">
      <c r="A38" s="1">
        <v>37</v>
      </c>
      <c r="B38" s="2" t="s">
        <v>241</v>
      </c>
    </row>
    <row r="39" customHeight="true" spans="1:2">
      <c r="A39" s="1">
        <v>38</v>
      </c>
      <c r="B39" s="2" t="s">
        <v>329</v>
      </c>
    </row>
    <row r="40" customHeight="true" spans="1:2">
      <c r="A40" s="3">
        <v>39</v>
      </c>
      <c r="B40" s="4" t="s">
        <v>330</v>
      </c>
    </row>
    <row r="41" customHeight="true" spans="1:2">
      <c r="A41" s="1">
        <v>40</v>
      </c>
      <c r="B41" s="2" t="s">
        <v>1045</v>
      </c>
    </row>
    <row r="42" customHeight="true" spans="1:2">
      <c r="A42" s="3">
        <v>41</v>
      </c>
      <c r="B42" s="4" t="s">
        <v>332</v>
      </c>
    </row>
    <row r="43" customHeight="true" spans="1:2">
      <c r="A43" s="1">
        <v>42</v>
      </c>
      <c r="B43" s="2" t="s">
        <v>334</v>
      </c>
    </row>
    <row r="44" customHeight="true" spans="1:2">
      <c r="A44" s="3">
        <v>43</v>
      </c>
      <c r="B44" s="4" t="s">
        <v>336</v>
      </c>
    </row>
    <row r="45" customHeight="true" spans="1:2">
      <c r="A45" s="3">
        <v>44</v>
      </c>
      <c r="B45" s="4" t="s">
        <v>338</v>
      </c>
    </row>
    <row r="46" customHeight="true" spans="1:2">
      <c r="A46" s="1">
        <v>45</v>
      </c>
      <c r="B46" s="2" t="s">
        <v>1046</v>
      </c>
    </row>
    <row r="47" customHeight="true" spans="1:2">
      <c r="A47" s="1">
        <v>46</v>
      </c>
      <c r="B47" s="2" t="s">
        <v>1047</v>
      </c>
    </row>
    <row r="48" customHeight="true" spans="1:2">
      <c r="A48" s="1">
        <v>47</v>
      </c>
      <c r="B48" s="2" t="s">
        <v>1048</v>
      </c>
    </row>
    <row r="49" customHeight="true" spans="1:2">
      <c r="A49" s="1">
        <v>48</v>
      </c>
      <c r="B49" s="2" t="s">
        <v>1049</v>
      </c>
    </row>
    <row r="50" customHeight="true" spans="1:2">
      <c r="A50" s="1">
        <v>49</v>
      </c>
      <c r="B50" s="2" t="s">
        <v>1050</v>
      </c>
    </row>
    <row r="51" customHeight="true" spans="1:2">
      <c r="A51" s="1">
        <v>50</v>
      </c>
      <c r="B51" s="2" t="s">
        <v>281</v>
      </c>
    </row>
    <row r="52" customHeight="true" spans="1:2">
      <c r="A52" s="1">
        <v>51</v>
      </c>
      <c r="B52" s="2" t="s">
        <v>1051</v>
      </c>
    </row>
    <row r="53" customHeight="true" spans="1:2">
      <c r="A53" s="1">
        <v>52</v>
      </c>
      <c r="B53" s="2" t="s">
        <v>1052</v>
      </c>
    </row>
    <row r="54" customHeight="true" spans="1:2">
      <c r="A54" s="3">
        <v>53</v>
      </c>
      <c r="B54" s="4" t="s">
        <v>341</v>
      </c>
    </row>
    <row r="55" customHeight="true" spans="1:2">
      <c r="A55" s="1">
        <v>54</v>
      </c>
      <c r="B55" s="2" t="s">
        <v>1053</v>
      </c>
    </row>
    <row r="56" customHeight="true" spans="1:2">
      <c r="A56" s="1">
        <v>55</v>
      </c>
      <c r="B56" s="2" t="s">
        <v>1054</v>
      </c>
    </row>
    <row r="57" customHeight="true" spans="1:2">
      <c r="A57" s="3">
        <v>56</v>
      </c>
      <c r="B57" s="4" t="s">
        <v>342</v>
      </c>
    </row>
    <row r="58" customHeight="true" spans="1:2">
      <c r="A58" s="1">
        <v>57</v>
      </c>
      <c r="B58" s="2" t="s">
        <v>302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view="pageBreakPreview" zoomScale="115" zoomScaleNormal="100" zoomScaleSheetLayoutView="115" workbookViewId="0">
      <selection activeCell="C4" sqref="C4"/>
    </sheetView>
  </sheetViews>
  <sheetFormatPr defaultColWidth="9" defaultRowHeight="13.5" outlineLevelRow="6" outlineLevelCol="5"/>
  <cols>
    <col min="1" max="1" width="9.78333333333333" style="161" customWidth="true"/>
    <col min="2" max="2" width="22.6" style="161" customWidth="true"/>
    <col min="3" max="3" width="34.4583333333333" style="161" customWidth="true"/>
    <col min="4" max="4" width="33.2583333333333" style="161" customWidth="true"/>
    <col min="5" max="5" width="24.775" style="161" customWidth="true"/>
    <col min="6" max="6" width="18.3333333333333" style="161" customWidth="true"/>
    <col min="7" max="16384" width="9" style="161"/>
  </cols>
  <sheetData>
    <row r="1" ht="23" customHeight="true" spans="1:1">
      <c r="A1" s="162" t="s">
        <v>22</v>
      </c>
    </row>
    <row r="2" ht="48" customHeight="true" spans="1:6">
      <c r="A2" s="163" t="s">
        <v>23</v>
      </c>
      <c r="B2" s="163"/>
      <c r="C2" s="163"/>
      <c r="D2" s="163"/>
      <c r="E2" s="163"/>
      <c r="F2" s="170"/>
    </row>
    <row r="3" ht="27" customHeight="true" spans="1:6">
      <c r="A3" s="164"/>
      <c r="B3" s="164"/>
      <c r="C3" s="164"/>
      <c r="D3" s="164"/>
      <c r="E3" s="164" t="s">
        <v>24</v>
      </c>
      <c r="F3" s="171"/>
    </row>
    <row r="4" ht="29" customHeight="true" spans="1:6">
      <c r="A4" s="165" t="s">
        <v>25</v>
      </c>
      <c r="B4" s="165" t="s">
        <v>26</v>
      </c>
      <c r="C4" s="83" t="s">
        <v>27</v>
      </c>
      <c r="D4" s="165" t="s">
        <v>28</v>
      </c>
      <c r="E4" s="172" t="s">
        <v>29</v>
      </c>
      <c r="F4" s="173"/>
    </row>
    <row r="5" ht="43" customHeight="true" spans="1:6">
      <c r="A5" s="166"/>
      <c r="B5" s="167" t="s">
        <v>30</v>
      </c>
      <c r="C5" s="166"/>
      <c r="D5" s="166"/>
      <c r="E5" s="174">
        <v>2000000</v>
      </c>
      <c r="F5" s="175"/>
    </row>
    <row r="6" ht="60" customHeight="true" spans="1:6">
      <c r="A6" s="168">
        <v>1</v>
      </c>
      <c r="B6" s="169" t="s">
        <v>31</v>
      </c>
      <c r="C6" s="169" t="s">
        <v>32</v>
      </c>
      <c r="D6" s="169" t="s">
        <v>33</v>
      </c>
      <c r="E6" s="176">
        <v>1000000</v>
      </c>
      <c r="F6" s="177"/>
    </row>
    <row r="7" ht="60" customHeight="true" spans="1:6">
      <c r="A7" s="168">
        <v>2</v>
      </c>
      <c r="B7" s="169" t="s">
        <v>34</v>
      </c>
      <c r="C7" s="169" t="s">
        <v>35</v>
      </c>
      <c r="D7" s="169" t="s">
        <v>36</v>
      </c>
      <c r="E7" s="176">
        <v>1000000</v>
      </c>
      <c r="F7" s="177"/>
    </row>
  </sheetData>
  <autoFilter ref="A4:E7">
    <extLst/>
  </autoFilter>
  <sortState ref="A4:L60">
    <sortCondition ref="A4:A60"/>
  </sortState>
  <mergeCells count="1">
    <mergeCell ref="A2:E2"/>
  </mergeCells>
  <printOptions horizontalCentered="true"/>
  <pageMargins left="0.700694444444445" right="0.700694444444445" top="0.751388888888889" bottom="0.751388888888889" header="0.298611111111111" footer="0.298611111111111"/>
  <pageSetup paperSize="9" scale="92"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F13" sqref="F13"/>
    </sheetView>
  </sheetViews>
  <sheetFormatPr defaultColWidth="9" defaultRowHeight="13.5" outlineLevelCol="1"/>
  <sheetData>
    <row r="1" spans="1:2">
      <c r="A1" t="s">
        <v>37</v>
      </c>
      <c r="B1">
        <v>1</v>
      </c>
    </row>
    <row r="2" spans="1:2">
      <c r="A2" t="s">
        <v>38</v>
      </c>
      <c r="B2">
        <v>2</v>
      </c>
    </row>
    <row r="3" spans="1:2">
      <c r="A3" t="s">
        <v>39</v>
      </c>
      <c r="B3">
        <v>3</v>
      </c>
    </row>
    <row r="4" spans="1:2">
      <c r="A4" t="s">
        <v>40</v>
      </c>
      <c r="B4">
        <v>4</v>
      </c>
    </row>
    <row r="5" spans="1:2">
      <c r="A5" t="s">
        <v>41</v>
      </c>
      <c r="B5">
        <v>5</v>
      </c>
    </row>
    <row r="6" spans="1:2">
      <c r="A6" t="s">
        <v>42</v>
      </c>
      <c r="B6">
        <v>6</v>
      </c>
    </row>
    <row r="7" spans="1:2">
      <c r="A7" t="s">
        <v>43</v>
      </c>
      <c r="B7">
        <v>7</v>
      </c>
    </row>
    <row r="8" spans="1:2">
      <c r="A8" t="s">
        <v>44</v>
      </c>
      <c r="B8">
        <v>8</v>
      </c>
    </row>
    <row r="9" spans="1:2">
      <c r="A9" t="s">
        <v>45</v>
      </c>
      <c r="B9">
        <v>9</v>
      </c>
    </row>
    <row r="10" spans="1:2">
      <c r="A10" t="s">
        <v>46</v>
      </c>
      <c r="B10">
        <v>10</v>
      </c>
    </row>
    <row r="11" spans="1:2">
      <c r="A11" t="s">
        <v>47</v>
      </c>
      <c r="B11">
        <v>11</v>
      </c>
    </row>
    <row r="12" spans="1:2">
      <c r="A12" t="s">
        <v>48</v>
      </c>
      <c r="B12">
        <v>12</v>
      </c>
    </row>
    <row r="13" spans="1:2">
      <c r="A13" t="s">
        <v>49</v>
      </c>
      <c r="B13">
        <v>13</v>
      </c>
    </row>
    <row r="14" spans="1:2">
      <c r="A14" t="s">
        <v>50</v>
      </c>
      <c r="B14">
        <v>14</v>
      </c>
    </row>
    <row r="15" spans="1:2">
      <c r="A15" t="s">
        <v>51</v>
      </c>
      <c r="B15">
        <v>15</v>
      </c>
    </row>
    <row r="16" spans="1:2">
      <c r="A16" t="s">
        <v>52</v>
      </c>
      <c r="B16">
        <v>16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29"/>
  <sheetViews>
    <sheetView topLeftCell="A13" workbookViewId="0">
      <selection activeCell="F13" sqref="F13"/>
    </sheetView>
  </sheetViews>
  <sheetFormatPr defaultColWidth="9" defaultRowHeight="18" customHeight="true" outlineLevelCol="2"/>
  <cols>
    <col min="1" max="1" width="8.88333333333333" style="18"/>
    <col min="2" max="2" width="83" style="18" customWidth="true"/>
    <col min="3" max="3" width="54.775" style="18" customWidth="true"/>
    <col min="4" max="16384" width="8.88333333333333" style="18"/>
  </cols>
  <sheetData>
    <row r="1" s="45" customFormat="true" customHeight="true" spans="2:2">
      <c r="B1" s="45" t="s">
        <v>53</v>
      </c>
    </row>
    <row r="2" customHeight="true" spans="2:3">
      <c r="B2" s="155" t="s">
        <v>54</v>
      </c>
      <c r="C2" s="18" t="s">
        <v>55</v>
      </c>
    </row>
    <row r="3" s="153" customFormat="true" customHeight="true" spans="2:3">
      <c r="B3" s="153" t="s">
        <v>56</v>
      </c>
      <c r="C3" s="153" t="s">
        <v>57</v>
      </c>
    </row>
    <row r="4" customHeight="true" spans="2:3">
      <c r="B4" s="155" t="s">
        <v>58</v>
      </c>
      <c r="C4" s="18" t="s">
        <v>59</v>
      </c>
    </row>
    <row r="5" s="153" customFormat="true" customHeight="true" spans="2:3">
      <c r="B5" s="153" t="s">
        <v>60</v>
      </c>
      <c r="C5" s="153" t="s">
        <v>61</v>
      </c>
    </row>
    <row r="6" s="153" customFormat="true" customHeight="true" spans="2:2">
      <c r="B6" s="157" t="s">
        <v>62</v>
      </c>
    </row>
    <row r="7" customHeight="true" spans="2:3">
      <c r="B7" s="18" t="s">
        <v>63</v>
      </c>
      <c r="C7" s="18" t="s">
        <v>64</v>
      </c>
    </row>
    <row r="8" customHeight="true" spans="2:3">
      <c r="B8" s="18" t="s">
        <v>65</v>
      </c>
      <c r="C8" s="18" t="s">
        <v>66</v>
      </c>
    </row>
    <row r="9" customHeight="true" spans="2:3">
      <c r="B9" s="18" t="s">
        <v>67</v>
      </c>
      <c r="C9" s="155" t="s">
        <v>68</v>
      </c>
    </row>
    <row r="10" s="154" customFormat="true" customHeight="true" spans="2:2">
      <c r="B10" s="154" t="s">
        <v>69</v>
      </c>
    </row>
    <row r="11" customHeight="true" spans="2:3">
      <c r="B11" s="18" t="s">
        <v>70</v>
      </c>
      <c r="C11" s="18" t="s">
        <v>71</v>
      </c>
    </row>
    <row r="12" s="155" customFormat="true" customHeight="true" spans="2:2">
      <c r="B12" s="155" t="s">
        <v>72</v>
      </c>
    </row>
    <row r="13" s="155" customFormat="true" customHeight="true" spans="2:3">
      <c r="B13" s="155" t="s">
        <v>73</v>
      </c>
      <c r="C13" s="155" t="s">
        <v>74</v>
      </c>
    </row>
    <row r="14" s="156" customFormat="true" ht="37.8" customHeight="true" spans="2:3">
      <c r="B14" s="158" t="s">
        <v>75</v>
      </c>
      <c r="C14" s="156" t="s">
        <v>76</v>
      </c>
    </row>
    <row r="15" customHeight="true" spans="2:3">
      <c r="B15" s="18" t="s">
        <v>77</v>
      </c>
      <c r="C15" s="155" t="s">
        <v>78</v>
      </c>
    </row>
    <row r="16" s="155" customFormat="true" customHeight="true" spans="2:3">
      <c r="B16" s="155" t="s">
        <v>79</v>
      </c>
      <c r="C16" s="155" t="s">
        <v>80</v>
      </c>
    </row>
    <row r="17" customHeight="true" spans="2:3">
      <c r="B17" s="18" t="s">
        <v>81</v>
      </c>
      <c r="C17" s="18" t="s">
        <v>82</v>
      </c>
    </row>
    <row r="18" s="155" customFormat="true" customHeight="true" spans="2:3">
      <c r="B18" s="155" t="s">
        <v>83</v>
      </c>
      <c r="C18" s="155" t="s">
        <v>84</v>
      </c>
    </row>
    <row r="19" s="154" customFormat="true" customHeight="true" spans="2:3">
      <c r="B19" s="154" t="s">
        <v>85</v>
      </c>
      <c r="C19" s="154" t="s">
        <v>86</v>
      </c>
    </row>
    <row r="20" customHeight="true" spans="2:3">
      <c r="B20" s="18" t="s">
        <v>87</v>
      </c>
      <c r="C20" s="18" t="s">
        <v>88</v>
      </c>
    </row>
    <row r="21" customHeight="true" spans="2:3">
      <c r="B21" s="18" t="s">
        <v>89</v>
      </c>
      <c r="C21" s="18" t="s">
        <v>90</v>
      </c>
    </row>
    <row r="22" customHeight="true" spans="2:2">
      <c r="B22" s="18" t="s">
        <v>91</v>
      </c>
    </row>
    <row r="23" ht="38.4" customHeight="true" spans="2:3">
      <c r="B23" s="159" t="s">
        <v>92</v>
      </c>
      <c r="C23" s="159" t="s">
        <v>93</v>
      </c>
    </row>
    <row r="24" s="155" customFormat="true" customHeight="true" spans="2:3">
      <c r="B24" s="155" t="s">
        <v>94</v>
      </c>
      <c r="C24" s="155" t="s">
        <v>95</v>
      </c>
    </row>
    <row r="25" customHeight="true" spans="2:3">
      <c r="B25" s="18" t="s">
        <v>96</v>
      </c>
      <c r="C25" s="18" t="s">
        <v>97</v>
      </c>
    </row>
    <row r="26" customHeight="true" spans="2:3">
      <c r="B26" s="18" t="s">
        <v>98</v>
      </c>
      <c r="C26" s="160" t="s">
        <v>99</v>
      </c>
    </row>
    <row r="27" customHeight="true" spans="2:3">
      <c r="B27" s="18" t="s">
        <v>100</v>
      </c>
      <c r="C27" s="160"/>
    </row>
    <row r="28" customHeight="true" spans="2:3">
      <c r="B28" s="18" t="s">
        <v>101</v>
      </c>
      <c r="C28" s="18" t="s">
        <v>102</v>
      </c>
    </row>
    <row r="29" customHeight="true" spans="2:2">
      <c r="B29" s="18" t="s">
        <v>103</v>
      </c>
    </row>
  </sheetData>
  <mergeCells count="1">
    <mergeCell ref="C26:C2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zoomScale="110" zoomScaleNormal="110" workbookViewId="0">
      <pane xSplit="3" ySplit="3" topLeftCell="D46" activePane="bottomRight" state="frozen"/>
      <selection/>
      <selection pane="topRight"/>
      <selection pane="bottomLeft"/>
      <selection pane="bottomRight" activeCell="H62" sqref="H62"/>
    </sheetView>
  </sheetViews>
  <sheetFormatPr defaultColWidth="8.775" defaultRowHeight="19.95" customHeight="true"/>
  <cols>
    <col min="1" max="1" width="4.88333333333333" style="5" customWidth="true"/>
    <col min="2" max="2" width="10.3333333333333" style="5" hidden="true" customWidth="true"/>
    <col min="3" max="3" width="34.1083333333333" style="8" customWidth="true"/>
    <col min="4" max="4" width="14.1083333333333" style="5" customWidth="true"/>
    <col min="5" max="5" width="15.3333333333333" style="5" customWidth="true"/>
    <col min="6" max="6" width="12.3333333333333" style="9" customWidth="true"/>
    <col min="7" max="7" width="9.44166666666667" style="76" customWidth="true"/>
    <col min="8" max="8" width="10.1083333333333" style="9" customWidth="true"/>
    <col min="9" max="9" width="9.10833333333333" style="9" customWidth="true"/>
    <col min="10" max="10" width="8.55833333333333" style="8" customWidth="true"/>
    <col min="11" max="11" width="5.775" style="8" customWidth="true"/>
    <col min="12" max="12" width="12.6666666666667" style="77" customWidth="true"/>
    <col min="13" max="13" width="12.2166666666667" style="78" customWidth="true"/>
    <col min="14" max="14" width="10.1083333333333" style="78" customWidth="true"/>
    <col min="15" max="15" width="9.775" style="8" customWidth="true"/>
    <col min="16" max="16" width="10.1083333333333" style="8" customWidth="true"/>
    <col min="17" max="17" width="30.1083333333333" style="8" customWidth="true"/>
    <col min="18" max="16384" width="8.775" style="8"/>
  </cols>
  <sheetData>
    <row r="1" ht="41.4" customHeight="true" spans="1:13">
      <c r="A1" s="82"/>
      <c r="B1" s="82"/>
      <c r="C1" s="82"/>
      <c r="D1" s="82"/>
      <c r="E1" s="82"/>
      <c r="F1" s="82"/>
      <c r="G1" s="139"/>
      <c r="H1" s="82"/>
      <c r="I1" s="105"/>
      <c r="J1" s="8" t="s">
        <v>104</v>
      </c>
      <c r="L1" s="114"/>
      <c r="M1" s="115"/>
    </row>
    <row r="2" customHeight="true" spans="1:17">
      <c r="A2" s="90"/>
      <c r="B2" s="90"/>
      <c r="C2" s="126"/>
      <c r="D2" s="90"/>
      <c r="E2" s="90"/>
      <c r="F2" s="101"/>
      <c r="G2" s="140"/>
      <c r="H2" s="141" t="s">
        <v>105</v>
      </c>
      <c r="I2" s="107" t="s">
        <v>106</v>
      </c>
      <c r="J2" s="108">
        <v>6.4601</v>
      </c>
      <c r="K2" s="109"/>
      <c r="L2" s="107" t="s">
        <v>107</v>
      </c>
      <c r="M2" s="80">
        <v>7.6862</v>
      </c>
      <c r="N2" s="8"/>
      <c r="Q2" s="15"/>
    </row>
    <row r="3" s="11" customFormat="true" ht="34.95" customHeight="true" spans="1:16">
      <c r="A3" s="82" t="s">
        <v>25</v>
      </c>
      <c r="B3" s="82" t="s">
        <v>26</v>
      </c>
      <c r="C3" s="82" t="s">
        <v>28</v>
      </c>
      <c r="D3" s="82" t="s">
        <v>108</v>
      </c>
      <c r="E3" s="82" t="s">
        <v>109</v>
      </c>
      <c r="F3" s="99" t="s">
        <v>110</v>
      </c>
      <c r="G3" s="100" t="s">
        <v>111</v>
      </c>
      <c r="H3" s="100" t="s">
        <v>112</v>
      </c>
      <c r="I3" s="100" t="s">
        <v>113</v>
      </c>
      <c r="J3" s="100" t="s">
        <v>114</v>
      </c>
      <c r="K3" s="100" t="s">
        <v>115</v>
      </c>
      <c r="L3" s="100" t="s">
        <v>116</v>
      </c>
      <c r="M3" s="100" t="s">
        <v>117</v>
      </c>
      <c r="N3" s="100" t="s">
        <v>118</v>
      </c>
      <c r="O3" s="100" t="s">
        <v>119</v>
      </c>
      <c r="P3" s="100" t="s">
        <v>120</v>
      </c>
    </row>
    <row r="4" customHeight="true" spans="1:16">
      <c r="A4" s="84">
        <v>1</v>
      </c>
      <c r="B4" s="85" t="s">
        <v>121</v>
      </c>
      <c r="C4" s="87" t="s">
        <v>122</v>
      </c>
      <c r="D4" s="85" t="s">
        <v>123</v>
      </c>
      <c r="E4" s="85" t="s">
        <v>124</v>
      </c>
      <c r="F4" s="101">
        <f t="shared" ref="F4:F35" si="0">MIN(N4,P4,O4)</f>
        <v>200189.82</v>
      </c>
      <c r="G4" s="102">
        <v>0.3</v>
      </c>
      <c r="H4" s="101">
        <f>ROUNDDOWN(MIN(F4*G4,30000),-2)</f>
        <v>30000</v>
      </c>
      <c r="I4" s="90" t="s">
        <v>125</v>
      </c>
      <c r="J4" s="103" t="s">
        <v>126</v>
      </c>
      <c r="K4" s="103">
        <v>9710</v>
      </c>
      <c r="L4" s="116" t="s">
        <v>127</v>
      </c>
      <c r="M4" s="101">
        <f>1222697.33*J2</f>
        <v>7898747.021533</v>
      </c>
      <c r="N4" s="101">
        <v>203670</v>
      </c>
      <c r="O4" s="101">
        <v>200189.82</v>
      </c>
      <c r="P4" s="101">
        <v>203670</v>
      </c>
    </row>
    <row r="5" ht="30" customHeight="true" spans="1:17">
      <c r="A5" s="84">
        <v>2</v>
      </c>
      <c r="B5" s="85" t="s">
        <v>128</v>
      </c>
      <c r="C5" s="87" t="s">
        <v>129</v>
      </c>
      <c r="D5" s="85" t="s">
        <v>123</v>
      </c>
      <c r="E5" s="103" t="s">
        <v>130</v>
      </c>
      <c r="F5" s="101">
        <f t="shared" si="0"/>
        <v>266430</v>
      </c>
      <c r="G5" s="102">
        <v>0.3</v>
      </c>
      <c r="H5" s="101">
        <f>ROUNDDOWN(MIN(F5*G5,70000),-2)</f>
        <v>70000</v>
      </c>
      <c r="I5" s="90" t="s">
        <v>125</v>
      </c>
      <c r="J5" s="103" t="s">
        <v>126</v>
      </c>
      <c r="K5" s="103">
        <v>9710</v>
      </c>
      <c r="L5" s="116" t="s">
        <v>131</v>
      </c>
      <c r="M5" s="101">
        <f>3264050.92*J2</f>
        <v>21086095.348292</v>
      </c>
      <c r="N5" s="101">
        <v>266430</v>
      </c>
      <c r="O5" s="101">
        <v>299230</v>
      </c>
      <c r="P5" s="101">
        <v>266430</v>
      </c>
      <c r="Q5" s="8" t="s">
        <v>132</v>
      </c>
    </row>
    <row r="6" customHeight="true" spans="1:17">
      <c r="A6" s="84">
        <v>3</v>
      </c>
      <c r="B6" s="85" t="s">
        <v>133</v>
      </c>
      <c r="C6" s="87" t="s">
        <v>134</v>
      </c>
      <c r="D6" s="85" t="s">
        <v>123</v>
      </c>
      <c r="E6" s="85" t="s">
        <v>124</v>
      </c>
      <c r="F6" s="101">
        <f t="shared" si="0"/>
        <v>2389740</v>
      </c>
      <c r="G6" s="102">
        <v>0.5</v>
      </c>
      <c r="H6" s="101">
        <f>ROUNDDOWN(MIN(F6*G6,70000),-2)</f>
        <v>70000</v>
      </c>
      <c r="I6" s="90" t="s">
        <v>135</v>
      </c>
      <c r="J6" s="103" t="s">
        <v>136</v>
      </c>
      <c r="K6" s="103">
        <v>9710</v>
      </c>
      <c r="L6" s="116" t="s">
        <v>137</v>
      </c>
      <c r="M6" s="101">
        <f>6480287.89*J2</f>
        <v>41863307.798189</v>
      </c>
      <c r="N6" s="101">
        <v>2489740</v>
      </c>
      <c r="O6" s="101">
        <v>2389740</v>
      </c>
      <c r="P6" s="101">
        <v>2389740</v>
      </c>
      <c r="Q6" s="8" t="s">
        <v>138</v>
      </c>
    </row>
    <row r="7" s="124" customFormat="true" customHeight="true" spans="1:17">
      <c r="A7" s="127">
        <v>4</v>
      </c>
      <c r="B7" s="128" t="s">
        <v>139</v>
      </c>
      <c r="C7" s="129" t="s">
        <v>140</v>
      </c>
      <c r="D7" s="128" t="s">
        <v>123</v>
      </c>
      <c r="E7" s="128" t="s">
        <v>124</v>
      </c>
      <c r="F7" s="142">
        <f t="shared" si="0"/>
        <v>80000</v>
      </c>
      <c r="G7" s="143">
        <v>0.3</v>
      </c>
      <c r="H7" s="142">
        <f>ROUNDDOWN(MIN(F7*G7,30000),-2)</f>
        <v>24000</v>
      </c>
      <c r="I7" s="137" t="s">
        <v>125</v>
      </c>
      <c r="J7" s="147" t="s">
        <v>126</v>
      </c>
      <c r="K7" s="147">
        <v>9710</v>
      </c>
      <c r="L7" s="148" t="s">
        <v>141</v>
      </c>
      <c r="M7" s="142">
        <f>997045.28*J2</f>
        <v>6441012.213328</v>
      </c>
      <c r="N7" s="142">
        <v>80000</v>
      </c>
      <c r="O7" s="142">
        <v>80000</v>
      </c>
      <c r="P7" s="142">
        <v>94019.3</v>
      </c>
      <c r="Q7" s="124" t="s">
        <v>142</v>
      </c>
    </row>
    <row r="8" customHeight="true" spans="1:17">
      <c r="A8" s="84">
        <v>5</v>
      </c>
      <c r="B8" s="85" t="s">
        <v>143</v>
      </c>
      <c r="C8" s="87" t="s">
        <v>144</v>
      </c>
      <c r="D8" s="85" t="s">
        <v>123</v>
      </c>
      <c r="E8" s="85" t="s">
        <v>124</v>
      </c>
      <c r="F8" s="101">
        <f t="shared" si="0"/>
        <v>80000</v>
      </c>
      <c r="G8" s="102">
        <v>0.5</v>
      </c>
      <c r="H8" s="101">
        <f>ROUNDDOWN(MIN(F8*G8,30000),-2)</f>
        <v>30000</v>
      </c>
      <c r="I8" s="90" t="s">
        <v>135</v>
      </c>
      <c r="J8" s="103" t="s">
        <v>126</v>
      </c>
      <c r="K8" s="103">
        <v>9710</v>
      </c>
      <c r="L8" s="116" t="s">
        <v>145</v>
      </c>
      <c r="M8" s="101">
        <f>1396649.53*J2</f>
        <v>9022495.628753</v>
      </c>
      <c r="N8" s="101">
        <v>80000</v>
      </c>
      <c r="O8" s="101">
        <v>90000</v>
      </c>
      <c r="P8" s="101">
        <v>80000</v>
      </c>
      <c r="Q8" s="8" t="s">
        <v>146</v>
      </c>
    </row>
    <row r="9" s="124" customFormat="true" customHeight="true" spans="1:17">
      <c r="A9" s="127">
        <v>6</v>
      </c>
      <c r="B9" s="128" t="s">
        <v>147</v>
      </c>
      <c r="C9" s="129" t="s">
        <v>148</v>
      </c>
      <c r="D9" s="128" t="s">
        <v>123</v>
      </c>
      <c r="E9" s="128" t="s">
        <v>124</v>
      </c>
      <c r="F9" s="142">
        <f t="shared" si="0"/>
        <v>115110.07</v>
      </c>
      <c r="G9" s="143">
        <v>0.3</v>
      </c>
      <c r="H9" s="142">
        <f>ROUNDDOWN(MIN(F9*G9,30000),-2)</f>
        <v>30000</v>
      </c>
      <c r="I9" s="137" t="s">
        <v>125</v>
      </c>
      <c r="J9" s="147" t="s">
        <v>126</v>
      </c>
      <c r="K9" s="147">
        <v>9710</v>
      </c>
      <c r="L9" s="148" t="s">
        <v>149</v>
      </c>
      <c r="M9" s="142">
        <f>2027630.31*J2</f>
        <v>13098694.565631</v>
      </c>
      <c r="N9" s="142">
        <v>170000</v>
      </c>
      <c r="O9" s="142">
        <v>150000</v>
      </c>
      <c r="P9" s="142">
        <v>115110.07</v>
      </c>
      <c r="Q9" s="124" t="s">
        <v>150</v>
      </c>
    </row>
    <row r="10" s="125" customFormat="true" ht="30" customHeight="true" spans="1:16">
      <c r="A10" s="130">
        <v>7</v>
      </c>
      <c r="B10" s="131" t="s">
        <v>121</v>
      </c>
      <c r="C10" s="132" t="s">
        <v>151</v>
      </c>
      <c r="D10" s="131" t="s">
        <v>123</v>
      </c>
      <c r="E10" s="144" t="s">
        <v>130</v>
      </c>
      <c r="F10" s="145">
        <f t="shared" si="0"/>
        <v>101600</v>
      </c>
      <c r="G10" s="146">
        <v>0.3</v>
      </c>
      <c r="H10" s="145">
        <f>ROUNDDOWN(MIN(F10*G10,30000),-2)</f>
        <v>30000</v>
      </c>
      <c r="I10" s="134" t="s">
        <v>125</v>
      </c>
      <c r="J10" s="144" t="s">
        <v>126</v>
      </c>
      <c r="K10" s="144">
        <v>9710</v>
      </c>
      <c r="L10" s="149" t="s">
        <v>152</v>
      </c>
      <c r="M10" s="145">
        <f>1213479.48*J2</f>
        <v>7839198.788748</v>
      </c>
      <c r="N10" s="145">
        <v>101600</v>
      </c>
      <c r="O10" s="145">
        <v>101600</v>
      </c>
      <c r="P10" s="145">
        <v>101600</v>
      </c>
    </row>
    <row r="11" ht="30" customHeight="true" spans="1:17">
      <c r="A11" s="84">
        <v>8</v>
      </c>
      <c r="B11" s="85" t="s">
        <v>153</v>
      </c>
      <c r="C11" s="87" t="s">
        <v>154</v>
      </c>
      <c r="D11" s="85" t="s">
        <v>123</v>
      </c>
      <c r="E11" s="103" t="s">
        <v>130</v>
      </c>
      <c r="F11" s="101">
        <f t="shared" si="0"/>
        <v>147110.46</v>
      </c>
      <c r="G11" s="102">
        <v>0.3</v>
      </c>
      <c r="H11" s="101">
        <f>ROUNDDOWN(MIN(F11*G11,30000),-2)</f>
        <v>30000</v>
      </c>
      <c r="I11" s="90" t="s">
        <v>125</v>
      </c>
      <c r="J11" s="103" t="s">
        <v>126</v>
      </c>
      <c r="K11" s="103">
        <v>9710</v>
      </c>
      <c r="L11" s="116" t="s">
        <v>155</v>
      </c>
      <c r="M11" s="101">
        <f>561994.56*J2</f>
        <v>3630541.057056</v>
      </c>
      <c r="N11" s="101">
        <v>170000</v>
      </c>
      <c r="O11" s="101">
        <v>150240.77</v>
      </c>
      <c r="P11" s="101">
        <v>147110.46</v>
      </c>
      <c r="Q11" s="8" t="s">
        <v>156</v>
      </c>
    </row>
    <row r="12" customHeight="true" spans="1:17">
      <c r="A12" s="84">
        <v>9</v>
      </c>
      <c r="B12" s="85" t="s">
        <v>121</v>
      </c>
      <c r="C12" s="87" t="s">
        <v>157</v>
      </c>
      <c r="D12" s="85" t="s">
        <v>123</v>
      </c>
      <c r="E12" s="85" t="s">
        <v>124</v>
      </c>
      <c r="F12" s="101">
        <f t="shared" si="0"/>
        <v>59600</v>
      </c>
      <c r="G12" s="102">
        <v>0.3</v>
      </c>
      <c r="H12" s="101">
        <f t="shared" ref="H12:H28" si="1">ROUNDDOWN(MIN(F12*G12,2000),-2)</f>
        <v>2000</v>
      </c>
      <c r="I12" s="90" t="s">
        <v>125</v>
      </c>
      <c r="J12" s="103" t="s">
        <v>126</v>
      </c>
      <c r="K12" s="103">
        <v>9710</v>
      </c>
      <c r="L12" s="116" t="s">
        <v>158</v>
      </c>
      <c r="M12" s="101">
        <f>91058*J2</f>
        <v>588243.7858</v>
      </c>
      <c r="N12" s="101">
        <v>59600</v>
      </c>
      <c r="O12" s="101">
        <v>59600</v>
      </c>
      <c r="P12" s="101">
        <v>59600</v>
      </c>
      <c r="Q12" s="8" t="s">
        <v>159</v>
      </c>
    </row>
    <row r="13" customHeight="true" spans="1:16">
      <c r="A13" s="84">
        <v>10</v>
      </c>
      <c r="B13" s="85" t="s">
        <v>160</v>
      </c>
      <c r="C13" s="87" t="s">
        <v>161</v>
      </c>
      <c r="D13" s="85" t="s">
        <v>123</v>
      </c>
      <c r="E13" s="85" t="s">
        <v>124</v>
      </c>
      <c r="F13" s="101">
        <f t="shared" si="0"/>
        <v>503800</v>
      </c>
      <c r="G13" s="102">
        <v>0.3</v>
      </c>
      <c r="H13" s="101">
        <f>ROUNDDOWN(MIN(F13*G13,70000),-2)</f>
        <v>70000</v>
      </c>
      <c r="I13" s="90" t="s">
        <v>125</v>
      </c>
      <c r="J13" s="103" t="s">
        <v>126</v>
      </c>
      <c r="K13" s="103">
        <v>9710</v>
      </c>
      <c r="L13" s="116" t="s">
        <v>162</v>
      </c>
      <c r="M13" s="101">
        <f>3620862.34395845*J2</f>
        <v>23391132.828206</v>
      </c>
      <c r="N13" s="101">
        <v>503800</v>
      </c>
      <c r="O13" s="101">
        <v>513800</v>
      </c>
      <c r="P13" s="101">
        <v>503800</v>
      </c>
    </row>
    <row r="14" ht="30" customHeight="true" spans="1:17">
      <c r="A14" s="84">
        <v>11</v>
      </c>
      <c r="B14" s="85" t="s">
        <v>163</v>
      </c>
      <c r="C14" s="87" t="s">
        <v>164</v>
      </c>
      <c r="D14" s="85" t="s">
        <v>123</v>
      </c>
      <c r="E14" s="85" t="s">
        <v>165</v>
      </c>
      <c r="F14" s="101">
        <f t="shared" si="0"/>
        <v>223628.894094</v>
      </c>
      <c r="G14" s="102">
        <v>0.5</v>
      </c>
      <c r="H14" s="101">
        <f>ROUNDDOWN(MIN(F14*G14,70000),-2)</f>
        <v>70000</v>
      </c>
      <c r="I14" s="90" t="s">
        <v>125</v>
      </c>
      <c r="J14" s="103" t="s">
        <v>136</v>
      </c>
      <c r="K14" s="103" t="s">
        <v>166</v>
      </c>
      <c r="L14" s="150" t="s">
        <v>167</v>
      </c>
      <c r="M14" s="101">
        <f>3165577*J2</f>
        <v>20449943.9777</v>
      </c>
      <c r="N14" s="101"/>
      <c r="O14" s="101"/>
      <c r="P14" s="101">
        <v>223628.894094</v>
      </c>
      <c r="Q14" s="8" t="s">
        <v>168</v>
      </c>
    </row>
    <row r="15" customHeight="true" spans="1:17">
      <c r="A15" s="84">
        <v>12</v>
      </c>
      <c r="B15" s="85" t="s">
        <v>169</v>
      </c>
      <c r="C15" s="87" t="s">
        <v>170</v>
      </c>
      <c r="D15" s="85" t="s">
        <v>123</v>
      </c>
      <c r="E15" s="85" t="s">
        <v>124</v>
      </c>
      <c r="F15" s="101">
        <f t="shared" si="0"/>
        <v>246613.15</v>
      </c>
      <c r="G15" s="102">
        <v>0.3</v>
      </c>
      <c r="H15" s="101">
        <f>ROUNDDOWN(MIN(F15*G15,70000),-2)</f>
        <v>70000</v>
      </c>
      <c r="I15" s="90" t="s">
        <v>125</v>
      </c>
      <c r="J15" s="103" t="s">
        <v>126</v>
      </c>
      <c r="K15" s="103">
        <v>9710</v>
      </c>
      <c r="L15" s="116" t="s">
        <v>171</v>
      </c>
      <c r="M15" s="101">
        <f>3387472.7*J2</f>
        <v>21883412.38927</v>
      </c>
      <c r="N15" s="101">
        <v>299600</v>
      </c>
      <c r="O15" s="101">
        <v>276614</v>
      </c>
      <c r="P15" s="101">
        <v>246613.15</v>
      </c>
      <c r="Q15" s="8" t="s">
        <v>172</v>
      </c>
    </row>
    <row r="16" s="125" customFormat="true" customHeight="true" spans="1:17">
      <c r="A16" s="130">
        <v>13</v>
      </c>
      <c r="B16" s="131" t="s">
        <v>147</v>
      </c>
      <c r="C16" s="132" t="s">
        <v>173</v>
      </c>
      <c r="D16" s="131" t="s">
        <v>123</v>
      </c>
      <c r="E16" s="131" t="s">
        <v>174</v>
      </c>
      <c r="F16" s="145">
        <f t="shared" si="0"/>
        <v>242000</v>
      </c>
      <c r="G16" s="146">
        <v>0.3</v>
      </c>
      <c r="H16" s="145">
        <f>ROUNDDOWN(MIN(F16*G16,70000),-2)</f>
        <v>70000</v>
      </c>
      <c r="I16" s="144" t="s">
        <v>126</v>
      </c>
      <c r="J16" s="144" t="s">
        <v>126</v>
      </c>
      <c r="K16" s="144">
        <v>9710</v>
      </c>
      <c r="L16" s="149" t="s">
        <v>175</v>
      </c>
      <c r="M16" s="145">
        <f>1198043.21*J2+2063331.67*M2</f>
        <v>23598658.822875</v>
      </c>
      <c r="N16" s="145">
        <v>242000</v>
      </c>
      <c r="O16" s="145">
        <v>242000</v>
      </c>
      <c r="P16" s="145">
        <v>242000</v>
      </c>
      <c r="Q16" s="125" t="s">
        <v>176</v>
      </c>
    </row>
    <row r="17" s="125" customFormat="true" ht="30" customHeight="true" spans="1:17">
      <c r="A17" s="130">
        <v>14</v>
      </c>
      <c r="B17" s="131" t="s">
        <v>153</v>
      </c>
      <c r="C17" s="132" t="s">
        <v>177</v>
      </c>
      <c r="D17" s="131" t="s">
        <v>123</v>
      </c>
      <c r="E17" s="144" t="s">
        <v>130</v>
      </c>
      <c r="F17" s="145">
        <f t="shared" si="0"/>
        <v>74600</v>
      </c>
      <c r="G17" s="146">
        <v>0.3</v>
      </c>
      <c r="H17" s="145">
        <f>ROUNDDOWN(MIN(F17*G17,70000),-2)</f>
        <v>22300</v>
      </c>
      <c r="I17" s="134" t="s">
        <v>125</v>
      </c>
      <c r="J17" s="144" t="s">
        <v>126</v>
      </c>
      <c r="K17" s="144">
        <v>9710</v>
      </c>
      <c r="L17" s="149" t="s">
        <v>178</v>
      </c>
      <c r="M17" s="145">
        <f>17805233.07*J2</f>
        <v>115023586.155507</v>
      </c>
      <c r="N17" s="145">
        <v>74600</v>
      </c>
      <c r="O17" s="145">
        <v>74600</v>
      </c>
      <c r="P17" s="145">
        <v>74600</v>
      </c>
      <c r="Q17" s="125" t="s">
        <v>179</v>
      </c>
    </row>
    <row r="18" customHeight="true" spans="1:17">
      <c r="A18" s="84">
        <v>15</v>
      </c>
      <c r="B18" s="85" t="s">
        <v>121</v>
      </c>
      <c r="C18" s="87" t="s">
        <v>180</v>
      </c>
      <c r="D18" s="85" t="s">
        <v>123</v>
      </c>
      <c r="E18" s="85" t="s">
        <v>124</v>
      </c>
      <c r="F18" s="101">
        <f t="shared" si="0"/>
        <v>102566.55</v>
      </c>
      <c r="G18" s="102">
        <v>0.3</v>
      </c>
      <c r="H18" s="101">
        <f>ROUNDDOWN(MIN(F18*G18,30000),-2)</f>
        <v>30000</v>
      </c>
      <c r="I18" s="90" t="s">
        <v>125</v>
      </c>
      <c r="J18" s="103" t="s">
        <v>126</v>
      </c>
      <c r="K18" s="103">
        <v>9710</v>
      </c>
      <c r="L18" s="116" t="s">
        <v>181</v>
      </c>
      <c r="M18" s="101">
        <f>1479879.18*J2</f>
        <v>9560167.490718</v>
      </c>
      <c r="N18" s="101">
        <v>129600</v>
      </c>
      <c r="O18" s="101">
        <v>122152.12</v>
      </c>
      <c r="P18" s="101">
        <v>102566.55</v>
      </c>
      <c r="Q18" s="8" t="s">
        <v>182</v>
      </c>
    </row>
    <row r="19" customHeight="true" spans="1:17">
      <c r="A19" s="84">
        <v>16</v>
      </c>
      <c r="B19" s="85" t="s">
        <v>121</v>
      </c>
      <c r="C19" s="88" t="s">
        <v>183</v>
      </c>
      <c r="D19" s="85" t="s">
        <v>123</v>
      </c>
      <c r="E19" s="85" t="s">
        <v>124</v>
      </c>
      <c r="F19" s="101">
        <f t="shared" si="0"/>
        <v>29800</v>
      </c>
      <c r="G19" s="102">
        <v>0.3</v>
      </c>
      <c r="H19" s="101">
        <f t="shared" si="1"/>
        <v>2000</v>
      </c>
      <c r="I19" s="90" t="s">
        <v>125</v>
      </c>
      <c r="J19" s="103" t="s">
        <v>126</v>
      </c>
      <c r="K19" s="103">
        <v>9710</v>
      </c>
      <c r="L19" s="116" t="s">
        <v>184</v>
      </c>
      <c r="M19" s="101">
        <f>80593.15*J2</f>
        <v>520639.808315</v>
      </c>
      <c r="N19" s="101">
        <v>29800</v>
      </c>
      <c r="O19" s="101">
        <v>59800</v>
      </c>
      <c r="P19" s="101">
        <v>29800</v>
      </c>
      <c r="Q19" s="8" t="s">
        <v>185</v>
      </c>
    </row>
    <row r="20" customHeight="true" spans="1:16">
      <c r="A20" s="84">
        <v>17</v>
      </c>
      <c r="B20" s="85" t="s">
        <v>186</v>
      </c>
      <c r="C20" s="87" t="s">
        <v>187</v>
      </c>
      <c r="D20" s="85" t="s">
        <v>123</v>
      </c>
      <c r="E20" s="85" t="s">
        <v>124</v>
      </c>
      <c r="F20" s="101">
        <f t="shared" si="0"/>
        <v>50000</v>
      </c>
      <c r="G20" s="102">
        <v>0.3</v>
      </c>
      <c r="H20" s="101">
        <f t="shared" si="1"/>
        <v>2000</v>
      </c>
      <c r="I20" s="90" t="s">
        <v>125</v>
      </c>
      <c r="J20" s="103" t="s">
        <v>126</v>
      </c>
      <c r="K20" s="103">
        <v>9710</v>
      </c>
      <c r="L20" s="116" t="s">
        <v>188</v>
      </c>
      <c r="M20" s="101">
        <f>120001.5*J2</f>
        <v>775221.69015</v>
      </c>
      <c r="N20" s="101">
        <v>130000</v>
      </c>
      <c r="O20" s="101">
        <v>50000</v>
      </c>
      <c r="P20" s="101">
        <v>130000</v>
      </c>
    </row>
    <row r="21" customHeight="true" spans="1:16">
      <c r="A21" s="84">
        <v>18</v>
      </c>
      <c r="B21" s="85" t="s">
        <v>139</v>
      </c>
      <c r="C21" s="87" t="s">
        <v>189</v>
      </c>
      <c r="D21" s="85" t="s">
        <v>123</v>
      </c>
      <c r="E21" s="85" t="s">
        <v>124</v>
      </c>
      <c r="F21" s="101">
        <f t="shared" si="0"/>
        <v>324263.75</v>
      </c>
      <c r="G21" s="102">
        <v>0.3</v>
      </c>
      <c r="H21" s="101">
        <f>ROUNDDOWN(MIN(F21*G21,70000),-2)</f>
        <v>70000</v>
      </c>
      <c r="I21" s="90" t="s">
        <v>125</v>
      </c>
      <c r="J21" s="103" t="s">
        <v>126</v>
      </c>
      <c r="K21" s="103">
        <v>9710</v>
      </c>
      <c r="L21" s="116" t="s">
        <v>190</v>
      </c>
      <c r="M21" s="101">
        <f>3886485.88*J2</f>
        <v>25107087.433388</v>
      </c>
      <c r="N21" s="101">
        <v>350000</v>
      </c>
      <c r="O21" s="101">
        <v>324263.75</v>
      </c>
      <c r="P21" s="101">
        <v>467440.64</v>
      </c>
    </row>
    <row r="22" customHeight="true" spans="1:16">
      <c r="A22" s="84">
        <v>19</v>
      </c>
      <c r="B22" s="85" t="s">
        <v>169</v>
      </c>
      <c r="C22" s="87" t="s">
        <v>191</v>
      </c>
      <c r="D22" s="85" t="s">
        <v>123</v>
      </c>
      <c r="E22" s="85" t="s">
        <v>124</v>
      </c>
      <c r="F22" s="101">
        <f t="shared" si="0"/>
        <v>365600</v>
      </c>
      <c r="G22" s="102">
        <v>0.3</v>
      </c>
      <c r="H22" s="101">
        <f>ROUNDDOWN(MIN(F22*G22,30000),-2)</f>
        <v>30000</v>
      </c>
      <c r="I22" s="90" t="s">
        <v>125</v>
      </c>
      <c r="J22" s="103" t="s">
        <v>126</v>
      </c>
      <c r="K22" s="103">
        <v>9710</v>
      </c>
      <c r="L22" s="116" t="s">
        <v>192</v>
      </c>
      <c r="M22" s="101">
        <f>488267.14*J2</f>
        <v>3154254.551114</v>
      </c>
      <c r="N22" s="101">
        <v>377240</v>
      </c>
      <c r="O22" s="101">
        <v>365600</v>
      </c>
      <c r="P22" s="101">
        <v>696230</v>
      </c>
    </row>
    <row r="23" s="124" customFormat="true" customHeight="true" spans="1:17">
      <c r="A23" s="127">
        <v>20</v>
      </c>
      <c r="B23" s="128" t="s">
        <v>121</v>
      </c>
      <c r="C23" s="129" t="s">
        <v>193</v>
      </c>
      <c r="D23" s="128" t="s">
        <v>123</v>
      </c>
      <c r="E23" s="128" t="s">
        <v>194</v>
      </c>
      <c r="F23" s="142">
        <f t="shared" si="0"/>
        <v>0</v>
      </c>
      <c r="G23" s="143">
        <v>0.3</v>
      </c>
      <c r="H23" s="142">
        <f t="shared" si="1"/>
        <v>0</v>
      </c>
      <c r="I23" s="137" t="s">
        <v>125</v>
      </c>
      <c r="J23" s="147" t="s">
        <v>126</v>
      </c>
      <c r="K23" s="147">
        <v>1210</v>
      </c>
      <c r="L23" s="148"/>
      <c r="M23" s="142"/>
      <c r="N23" s="142"/>
      <c r="O23" s="142"/>
      <c r="P23" s="142"/>
      <c r="Q23" s="124" t="s">
        <v>195</v>
      </c>
    </row>
    <row r="24" customHeight="true" spans="1:16">
      <c r="A24" s="84">
        <v>21</v>
      </c>
      <c r="B24" s="85" t="s">
        <v>153</v>
      </c>
      <c r="C24" s="87" t="s">
        <v>196</v>
      </c>
      <c r="D24" s="85" t="s">
        <v>123</v>
      </c>
      <c r="E24" s="85" t="s">
        <v>124</v>
      </c>
      <c r="F24" s="101">
        <f t="shared" si="0"/>
        <v>129600</v>
      </c>
      <c r="G24" s="102">
        <v>0.3</v>
      </c>
      <c r="H24" s="101">
        <f>ROUNDDOWN(MIN(F24*G24,30000),-2)</f>
        <v>30000</v>
      </c>
      <c r="I24" s="90" t="s">
        <v>125</v>
      </c>
      <c r="J24" s="103" t="s">
        <v>126</v>
      </c>
      <c r="K24" s="103">
        <v>9710</v>
      </c>
      <c r="L24" s="116" t="s">
        <v>197</v>
      </c>
      <c r="M24" s="101">
        <f>496571.86*J2</f>
        <v>3207903.872786</v>
      </c>
      <c r="N24" s="101">
        <v>129600</v>
      </c>
      <c r="O24" s="101">
        <v>129600</v>
      </c>
      <c r="P24" s="101">
        <v>134638.02</v>
      </c>
    </row>
    <row r="25" customHeight="true" spans="1:16">
      <c r="A25" s="84">
        <v>22</v>
      </c>
      <c r="B25" s="85" t="s">
        <v>121</v>
      </c>
      <c r="C25" s="87" t="s">
        <v>198</v>
      </c>
      <c r="D25" s="85" t="s">
        <v>123</v>
      </c>
      <c r="E25" s="85" t="s">
        <v>124</v>
      </c>
      <c r="F25" s="101">
        <f t="shared" si="0"/>
        <v>153594.79</v>
      </c>
      <c r="G25" s="102">
        <v>0.3</v>
      </c>
      <c r="H25" s="101">
        <f>ROUNDDOWN(MIN(F25*G25,30000),-2)</f>
        <v>30000</v>
      </c>
      <c r="I25" s="90" t="s">
        <v>125</v>
      </c>
      <c r="J25" s="103" t="s">
        <v>126</v>
      </c>
      <c r="K25" s="103">
        <v>9710</v>
      </c>
      <c r="L25" s="116" t="s">
        <v>199</v>
      </c>
      <c r="M25" s="101">
        <f>494321.71*J2</f>
        <v>3193367.678771</v>
      </c>
      <c r="N25" s="101">
        <v>185940</v>
      </c>
      <c r="O25" s="101">
        <v>159768.18</v>
      </c>
      <c r="P25" s="101">
        <v>153594.79</v>
      </c>
    </row>
    <row r="26" customHeight="true" spans="1:17">
      <c r="A26" s="84">
        <v>23</v>
      </c>
      <c r="B26" s="85" t="s">
        <v>200</v>
      </c>
      <c r="C26" s="87" t="s">
        <v>201</v>
      </c>
      <c r="D26" s="85" t="s">
        <v>123</v>
      </c>
      <c r="E26" s="85" t="s">
        <v>124</v>
      </c>
      <c r="F26" s="101">
        <f t="shared" si="0"/>
        <v>296459</v>
      </c>
      <c r="G26" s="102">
        <v>0.5</v>
      </c>
      <c r="H26" s="101">
        <f>ROUNDDOWN(MIN(F26*G26,30000),-2)</f>
        <v>30000</v>
      </c>
      <c r="I26" s="90" t="s">
        <v>135</v>
      </c>
      <c r="J26" s="103" t="s">
        <v>126</v>
      </c>
      <c r="K26" s="103">
        <v>9710</v>
      </c>
      <c r="L26" s="116" t="s">
        <v>202</v>
      </c>
      <c r="M26" s="101">
        <f>820232.96*J2</f>
        <v>5298786.944896</v>
      </c>
      <c r="N26" s="101">
        <v>374750</v>
      </c>
      <c r="O26" s="101">
        <v>363950</v>
      </c>
      <c r="P26" s="101">
        <v>296459</v>
      </c>
      <c r="Q26" s="8" t="s">
        <v>203</v>
      </c>
    </row>
    <row r="27" customHeight="true" spans="1:16">
      <c r="A27" s="84">
        <v>24</v>
      </c>
      <c r="B27" s="85" t="s">
        <v>121</v>
      </c>
      <c r="C27" s="87" t="s">
        <v>204</v>
      </c>
      <c r="D27" s="85" t="s">
        <v>123</v>
      </c>
      <c r="E27" s="85" t="s">
        <v>124</v>
      </c>
      <c r="F27" s="101">
        <f t="shared" si="0"/>
        <v>563843.41</v>
      </c>
      <c r="G27" s="102">
        <v>0.3</v>
      </c>
      <c r="H27" s="101">
        <f t="shared" si="1"/>
        <v>2000</v>
      </c>
      <c r="I27" s="90" t="s">
        <v>125</v>
      </c>
      <c r="J27" s="103" t="s">
        <v>126</v>
      </c>
      <c r="K27" s="103">
        <v>9710</v>
      </c>
      <c r="L27" s="116" t="s">
        <v>205</v>
      </c>
      <c r="M27" s="101">
        <f>174350.59*J2</f>
        <v>1126322.246459</v>
      </c>
      <c r="N27" s="101">
        <v>621282</v>
      </c>
      <c r="O27" s="101">
        <v>611142</v>
      </c>
      <c r="P27" s="101">
        <v>563843.41</v>
      </c>
    </row>
    <row r="28" customHeight="true" spans="1:16">
      <c r="A28" s="84">
        <v>25</v>
      </c>
      <c r="B28" s="85" t="s">
        <v>121</v>
      </c>
      <c r="C28" s="87" t="s">
        <v>206</v>
      </c>
      <c r="D28" s="85" t="s">
        <v>123</v>
      </c>
      <c r="E28" s="85" t="s">
        <v>124</v>
      </c>
      <c r="F28" s="101">
        <f t="shared" si="0"/>
        <v>92473.57</v>
      </c>
      <c r="G28" s="102">
        <v>0.3</v>
      </c>
      <c r="H28" s="101">
        <f t="shared" si="1"/>
        <v>2000</v>
      </c>
      <c r="I28" s="90" t="s">
        <v>125</v>
      </c>
      <c r="J28" s="103" t="s">
        <v>126</v>
      </c>
      <c r="K28" s="103">
        <v>9710</v>
      </c>
      <c r="L28" s="116" t="s">
        <v>207</v>
      </c>
      <c r="M28" s="101">
        <f>66884.8*J2</f>
        <v>432082.49648</v>
      </c>
      <c r="N28" s="101">
        <v>99600</v>
      </c>
      <c r="O28" s="101">
        <v>99600</v>
      </c>
      <c r="P28" s="101">
        <v>92473.57</v>
      </c>
    </row>
    <row r="29" s="124" customFormat="true" ht="30" customHeight="true" spans="1:16">
      <c r="A29" s="127">
        <v>26</v>
      </c>
      <c r="B29" s="128" t="s">
        <v>121</v>
      </c>
      <c r="C29" s="129" t="s">
        <v>208</v>
      </c>
      <c r="D29" s="128" t="s">
        <v>123</v>
      </c>
      <c r="E29" s="147" t="s">
        <v>130</v>
      </c>
      <c r="F29" s="142">
        <f t="shared" si="0"/>
        <v>76300</v>
      </c>
      <c r="G29" s="143">
        <v>0.5</v>
      </c>
      <c r="H29" s="142">
        <f>ROUNDDOWN(MIN(F29*G29,70000),-2)</f>
        <v>38100</v>
      </c>
      <c r="I29" s="137" t="s">
        <v>125</v>
      </c>
      <c r="J29" s="128" t="s">
        <v>136</v>
      </c>
      <c r="K29" s="128">
        <v>9710</v>
      </c>
      <c r="L29" s="148" t="s">
        <v>209</v>
      </c>
      <c r="M29" s="142">
        <f>3490690.36*J2</f>
        <v>22550208.794636</v>
      </c>
      <c r="N29" s="142">
        <v>76300</v>
      </c>
      <c r="O29" s="142">
        <v>76300</v>
      </c>
      <c r="P29" s="142">
        <v>76300</v>
      </c>
    </row>
    <row r="30" customHeight="true" spans="1:17">
      <c r="A30" s="84">
        <v>27</v>
      </c>
      <c r="B30" s="85" t="s">
        <v>200</v>
      </c>
      <c r="C30" s="87" t="s">
        <v>210</v>
      </c>
      <c r="D30" s="85" t="s">
        <v>123</v>
      </c>
      <c r="E30" s="85" t="s">
        <v>124</v>
      </c>
      <c r="F30" s="101">
        <f t="shared" si="0"/>
        <v>229914.78</v>
      </c>
      <c r="G30" s="102">
        <v>0.3</v>
      </c>
      <c r="H30" s="101">
        <f t="shared" ref="H30" si="2">ROUNDDOWN(MIN(F30*G30,2000),-2)</f>
        <v>2000</v>
      </c>
      <c r="I30" s="90" t="s">
        <v>125</v>
      </c>
      <c r="J30" s="103" t="s">
        <v>126</v>
      </c>
      <c r="K30" s="103">
        <v>9710</v>
      </c>
      <c r="L30" s="116" t="s">
        <v>211</v>
      </c>
      <c r="M30" s="101">
        <f>404389.97*J2</f>
        <v>2612399.645197</v>
      </c>
      <c r="N30" s="101">
        <v>280000</v>
      </c>
      <c r="O30" s="101">
        <v>270000</v>
      </c>
      <c r="P30" s="101">
        <v>229914.78</v>
      </c>
      <c r="Q30" s="8" t="s">
        <v>212</v>
      </c>
    </row>
    <row r="31" customHeight="true" spans="1:17">
      <c r="A31" s="84">
        <v>28</v>
      </c>
      <c r="B31" s="85" t="s">
        <v>200</v>
      </c>
      <c r="C31" s="87" t="s">
        <v>213</v>
      </c>
      <c r="D31" s="85" t="s">
        <v>123</v>
      </c>
      <c r="E31" s="85" t="s">
        <v>124</v>
      </c>
      <c r="F31" s="101">
        <f t="shared" si="0"/>
        <v>246502.72</v>
      </c>
      <c r="G31" s="102">
        <v>0.3</v>
      </c>
      <c r="H31" s="101">
        <f>ROUNDDOWN(MIN(F31*G31,30000),-2)</f>
        <v>30000</v>
      </c>
      <c r="I31" s="90" t="s">
        <v>125</v>
      </c>
      <c r="J31" s="103" t="s">
        <v>126</v>
      </c>
      <c r="K31" s="103">
        <v>9710</v>
      </c>
      <c r="L31" s="116" t="s">
        <v>214</v>
      </c>
      <c r="M31" s="101">
        <f>1514965.6*J2</f>
        <v>9786829.27256</v>
      </c>
      <c r="N31" s="101">
        <v>250000</v>
      </c>
      <c r="O31" s="101">
        <v>250000</v>
      </c>
      <c r="P31" s="101">
        <v>246502.72</v>
      </c>
      <c r="Q31" s="8" t="s">
        <v>215</v>
      </c>
    </row>
    <row r="32" s="124" customFormat="true" customHeight="true" spans="1:17">
      <c r="A32" s="127">
        <v>29</v>
      </c>
      <c r="B32" s="128" t="s">
        <v>169</v>
      </c>
      <c r="C32" s="129" t="s">
        <v>216</v>
      </c>
      <c r="D32" s="128" t="s">
        <v>123</v>
      </c>
      <c r="E32" s="128" t="s">
        <v>124</v>
      </c>
      <c r="F32" s="142">
        <f t="shared" si="0"/>
        <v>0</v>
      </c>
      <c r="G32" s="143">
        <v>0.3</v>
      </c>
      <c r="H32" s="142">
        <f>ROUNDDOWN(MIN(F32*G32,30000),-2)</f>
        <v>0</v>
      </c>
      <c r="I32" s="137" t="s">
        <v>125</v>
      </c>
      <c r="J32" s="147" t="s">
        <v>126</v>
      </c>
      <c r="K32" s="147"/>
      <c r="L32" s="148"/>
      <c r="M32" s="142"/>
      <c r="N32" s="142"/>
      <c r="O32" s="142"/>
      <c r="P32" s="142"/>
      <c r="Q32" s="124" t="s">
        <v>217</v>
      </c>
    </row>
    <row r="33" customHeight="true" spans="1:17">
      <c r="A33" s="84">
        <v>30</v>
      </c>
      <c r="B33" s="85" t="s">
        <v>121</v>
      </c>
      <c r="C33" s="87" t="s">
        <v>218</v>
      </c>
      <c r="D33" s="85" t="s">
        <v>123</v>
      </c>
      <c r="E33" s="85" t="s">
        <v>219</v>
      </c>
      <c r="F33" s="101">
        <f t="shared" si="0"/>
        <v>1230759.46</v>
      </c>
      <c r="G33" s="102">
        <v>0.5</v>
      </c>
      <c r="H33" s="101">
        <f>ROUNDDOWN(MIN(F33*G33,70000),-2)</f>
        <v>70000</v>
      </c>
      <c r="I33" s="90" t="s">
        <v>135</v>
      </c>
      <c r="J33" s="103" t="s">
        <v>136</v>
      </c>
      <c r="K33" s="103">
        <v>9710</v>
      </c>
      <c r="L33" s="116" t="s">
        <v>220</v>
      </c>
      <c r="M33" s="101">
        <f>4808382.5*J2</f>
        <v>31062631.78825</v>
      </c>
      <c r="N33" s="101"/>
      <c r="O33" s="101">
        <v>1230759.46</v>
      </c>
      <c r="P33" s="101">
        <v>1231084.46</v>
      </c>
      <c r="Q33" s="8" t="s">
        <v>203</v>
      </c>
    </row>
    <row r="34" s="125" customFormat="true" customHeight="true" spans="1:17">
      <c r="A34" s="130">
        <v>31</v>
      </c>
      <c r="B34" s="131" t="s">
        <v>139</v>
      </c>
      <c r="C34" s="132" t="s">
        <v>221</v>
      </c>
      <c r="D34" s="131" t="s">
        <v>123</v>
      </c>
      <c r="E34" s="131" t="s">
        <v>124</v>
      </c>
      <c r="F34" s="145">
        <f t="shared" si="0"/>
        <v>59600</v>
      </c>
      <c r="G34" s="146">
        <v>0.3</v>
      </c>
      <c r="H34" s="145">
        <f>ROUNDDOWN(MIN(F34*G34,2000),-2)</f>
        <v>2000</v>
      </c>
      <c r="I34" s="134" t="s">
        <v>125</v>
      </c>
      <c r="J34" s="144" t="s">
        <v>126</v>
      </c>
      <c r="K34" s="144">
        <v>9710</v>
      </c>
      <c r="L34" s="149" t="s">
        <v>222</v>
      </c>
      <c r="M34" s="145">
        <f>180*7.6862</f>
        <v>1383.516</v>
      </c>
      <c r="N34" s="145">
        <v>59600</v>
      </c>
      <c r="O34" s="145">
        <v>69600</v>
      </c>
      <c r="P34" s="145">
        <v>59600</v>
      </c>
      <c r="Q34" s="125" t="s">
        <v>223</v>
      </c>
    </row>
    <row r="35" s="125" customFormat="true" customHeight="true" spans="1:17">
      <c r="A35" s="130">
        <v>32</v>
      </c>
      <c r="B35" s="131" t="s">
        <v>147</v>
      </c>
      <c r="C35" s="132" t="s">
        <v>224</v>
      </c>
      <c r="D35" s="131" t="s">
        <v>123</v>
      </c>
      <c r="E35" s="131" t="s">
        <v>174</v>
      </c>
      <c r="F35" s="145">
        <f t="shared" si="0"/>
        <v>6000</v>
      </c>
      <c r="G35" s="146">
        <v>0.5</v>
      </c>
      <c r="H35" s="145">
        <f>ROUNDDOWN(MIN(F35*G35,70000),-2)</f>
        <v>3000</v>
      </c>
      <c r="I35" s="134" t="s">
        <v>135</v>
      </c>
      <c r="J35" s="144" t="s">
        <v>136</v>
      </c>
      <c r="K35" s="144">
        <v>9710</v>
      </c>
      <c r="L35" s="149" t="s">
        <v>225</v>
      </c>
      <c r="M35" s="145">
        <f>3132839.76*J2</f>
        <v>20238458.133576</v>
      </c>
      <c r="N35" s="145">
        <v>6000</v>
      </c>
      <c r="O35" s="145">
        <v>6000</v>
      </c>
      <c r="P35" s="145">
        <v>6000</v>
      </c>
      <c r="Q35" s="125" t="s">
        <v>226</v>
      </c>
    </row>
    <row r="36" s="124" customFormat="true" customHeight="true" spans="1:17">
      <c r="A36" s="127">
        <v>33</v>
      </c>
      <c r="B36" s="128" t="s">
        <v>139</v>
      </c>
      <c r="C36" s="129" t="s">
        <v>227</v>
      </c>
      <c r="D36" s="128" t="s">
        <v>123</v>
      </c>
      <c r="E36" s="128" t="s">
        <v>228</v>
      </c>
      <c r="F36" s="142">
        <f t="shared" ref="F36:F60" si="3">MIN(N36,P36,O36)</f>
        <v>125800</v>
      </c>
      <c r="G36" s="143">
        <v>0.5</v>
      </c>
      <c r="H36" s="142">
        <f>ROUNDDOWN(MIN(F36*G36,70000),-2)</f>
        <v>62900</v>
      </c>
      <c r="I36" s="137" t="s">
        <v>125</v>
      </c>
      <c r="J36" s="147" t="s">
        <v>136</v>
      </c>
      <c r="K36" s="147">
        <v>9710</v>
      </c>
      <c r="L36" s="148" t="s">
        <v>229</v>
      </c>
      <c r="M36" s="142">
        <f>7490168.58*J2</f>
        <v>48387238.043658</v>
      </c>
      <c r="N36" s="142">
        <v>125800</v>
      </c>
      <c r="O36" s="142">
        <v>125800</v>
      </c>
      <c r="P36" s="142">
        <v>125800</v>
      </c>
      <c r="Q36" s="124" t="s">
        <v>230</v>
      </c>
    </row>
    <row r="37" customHeight="true" spans="1:17">
      <c r="A37" s="84">
        <v>34</v>
      </c>
      <c r="B37" s="85" t="s">
        <v>163</v>
      </c>
      <c r="C37" s="87" t="s">
        <v>231</v>
      </c>
      <c r="D37" s="85" t="s">
        <v>123</v>
      </c>
      <c r="E37" s="85" t="s">
        <v>124</v>
      </c>
      <c r="F37" s="101">
        <f t="shared" si="3"/>
        <v>116010</v>
      </c>
      <c r="G37" s="102">
        <v>0.3</v>
      </c>
      <c r="H37" s="101">
        <f t="shared" ref="H37:H53" si="4">ROUNDDOWN(MIN(F37*G37,2000),-2)</f>
        <v>2000</v>
      </c>
      <c r="I37" s="90" t="s">
        <v>125</v>
      </c>
      <c r="J37" s="103" t="s">
        <v>126</v>
      </c>
      <c r="K37" s="103">
        <v>9710</v>
      </c>
      <c r="L37" s="116" t="s">
        <v>232</v>
      </c>
      <c r="M37" s="101">
        <f>6244.79*J2</f>
        <v>40341.967879</v>
      </c>
      <c r="N37" s="101">
        <v>116010</v>
      </c>
      <c r="O37" s="101">
        <v>149800</v>
      </c>
      <c r="P37" s="101">
        <v>128010</v>
      </c>
      <c r="Q37" s="8" t="s">
        <v>233</v>
      </c>
    </row>
    <row r="38" s="124" customFormat="true" customHeight="true" spans="1:17">
      <c r="A38" s="127">
        <v>35</v>
      </c>
      <c r="B38" s="128" t="s">
        <v>169</v>
      </c>
      <c r="C38" s="129" t="s">
        <v>234</v>
      </c>
      <c r="D38" s="128" t="s">
        <v>235</v>
      </c>
      <c r="E38" s="128" t="s">
        <v>174</v>
      </c>
      <c r="F38" s="142">
        <f t="shared" si="3"/>
        <v>0</v>
      </c>
      <c r="G38" s="143">
        <v>0.5</v>
      </c>
      <c r="H38" s="142">
        <f>ROUNDDOWN(MIN(F38*G38,70000),-2)</f>
        <v>0</v>
      </c>
      <c r="I38" s="137" t="s">
        <v>135</v>
      </c>
      <c r="J38" s="147" t="s">
        <v>136</v>
      </c>
      <c r="K38" s="147"/>
      <c r="L38" s="148" t="s">
        <v>236</v>
      </c>
      <c r="M38" s="142"/>
      <c r="N38" s="142">
        <v>0</v>
      </c>
      <c r="O38" s="142">
        <v>0</v>
      </c>
      <c r="P38" s="142">
        <v>0</v>
      </c>
      <c r="Q38" s="124" t="s">
        <v>237</v>
      </c>
    </row>
    <row r="39" s="125" customFormat="true" customHeight="true" spans="1:17">
      <c r="A39" s="130">
        <v>36</v>
      </c>
      <c r="B39" s="131" t="s">
        <v>147</v>
      </c>
      <c r="C39" s="132" t="s">
        <v>238</v>
      </c>
      <c r="D39" s="131" t="s">
        <v>123</v>
      </c>
      <c r="E39" s="131" t="s">
        <v>124</v>
      </c>
      <c r="F39" s="145">
        <f t="shared" si="3"/>
        <v>90000</v>
      </c>
      <c r="G39" s="146">
        <v>0.3</v>
      </c>
      <c r="H39" s="145">
        <f t="shared" si="4"/>
        <v>2000</v>
      </c>
      <c r="I39" s="134" t="s">
        <v>125</v>
      </c>
      <c r="J39" s="144" t="s">
        <v>126</v>
      </c>
      <c r="K39" s="144">
        <v>9710</v>
      </c>
      <c r="L39" s="149" t="s">
        <v>239</v>
      </c>
      <c r="M39" s="145">
        <f>98774.16*J2</f>
        <v>638090.951016</v>
      </c>
      <c r="N39" s="145">
        <v>90000</v>
      </c>
      <c r="O39" s="145">
        <v>90000</v>
      </c>
      <c r="P39" s="145">
        <v>92718.7</v>
      </c>
      <c r="Q39" s="125" t="s">
        <v>240</v>
      </c>
    </row>
    <row r="40" customHeight="true" spans="1:16">
      <c r="A40" s="84">
        <v>37</v>
      </c>
      <c r="B40" s="85" t="s">
        <v>169</v>
      </c>
      <c r="C40" s="88" t="s">
        <v>241</v>
      </c>
      <c r="D40" s="85" t="s">
        <v>123</v>
      </c>
      <c r="E40" s="85" t="s">
        <v>124</v>
      </c>
      <c r="F40" s="101">
        <f t="shared" si="3"/>
        <v>350000</v>
      </c>
      <c r="G40" s="102">
        <v>0.3</v>
      </c>
      <c r="H40" s="101">
        <f t="shared" si="4"/>
        <v>2000</v>
      </c>
      <c r="I40" s="90" t="s">
        <v>125</v>
      </c>
      <c r="J40" s="103" t="s">
        <v>126</v>
      </c>
      <c r="K40" s="103">
        <v>9710</v>
      </c>
      <c r="L40" s="116" t="s">
        <v>242</v>
      </c>
      <c r="M40" s="101">
        <f>131832.18*J2</f>
        <v>851649.066018</v>
      </c>
      <c r="N40" s="101">
        <v>350000</v>
      </c>
      <c r="O40" s="101">
        <v>350000</v>
      </c>
      <c r="P40" s="101">
        <v>350000</v>
      </c>
    </row>
    <row r="41" customHeight="true" spans="1:16">
      <c r="A41" s="84">
        <v>38</v>
      </c>
      <c r="B41" s="85" t="s">
        <v>121</v>
      </c>
      <c r="C41" s="87" t="s">
        <v>243</v>
      </c>
      <c r="D41" s="85" t="s">
        <v>123</v>
      </c>
      <c r="E41" s="85" t="s">
        <v>124</v>
      </c>
      <c r="F41" s="101">
        <f t="shared" si="3"/>
        <v>139040</v>
      </c>
      <c r="G41" s="102">
        <v>0.3</v>
      </c>
      <c r="H41" s="101">
        <f t="shared" si="4"/>
        <v>2000</v>
      </c>
      <c r="I41" s="90" t="s">
        <v>125</v>
      </c>
      <c r="J41" s="103" t="s">
        <v>126</v>
      </c>
      <c r="K41" s="103">
        <v>9710</v>
      </c>
      <c r="L41" s="116" t="s">
        <v>244</v>
      </c>
      <c r="M41" s="101">
        <f>80121.35*J2</f>
        <v>517591.933135</v>
      </c>
      <c r="N41" s="101">
        <v>139040</v>
      </c>
      <c r="O41" s="101">
        <v>139040</v>
      </c>
      <c r="P41" s="101">
        <v>139040</v>
      </c>
    </row>
    <row r="42" s="124" customFormat="true" customHeight="true" spans="1:17">
      <c r="A42" s="127">
        <v>39</v>
      </c>
      <c r="B42" s="128" t="s">
        <v>121</v>
      </c>
      <c r="C42" s="129" t="s">
        <v>245</v>
      </c>
      <c r="D42" s="128" t="s">
        <v>123</v>
      </c>
      <c r="E42" s="128" t="s">
        <v>124</v>
      </c>
      <c r="F42" s="142">
        <f t="shared" si="3"/>
        <v>90000</v>
      </c>
      <c r="G42" s="143">
        <v>0.3</v>
      </c>
      <c r="H42" s="142">
        <f t="shared" si="4"/>
        <v>2000</v>
      </c>
      <c r="I42" s="137" t="s">
        <v>125</v>
      </c>
      <c r="J42" s="147" t="s">
        <v>126</v>
      </c>
      <c r="K42" s="147">
        <v>9710</v>
      </c>
      <c r="L42" s="148" t="s">
        <v>246</v>
      </c>
      <c r="M42" s="142"/>
      <c r="N42" s="142">
        <v>90000</v>
      </c>
      <c r="O42" s="142">
        <v>90000</v>
      </c>
      <c r="P42" s="142">
        <v>114021.37</v>
      </c>
      <c r="Q42" s="124" t="s">
        <v>247</v>
      </c>
    </row>
    <row r="43" customHeight="true" spans="1:16">
      <c r="A43" s="84">
        <v>40</v>
      </c>
      <c r="B43" s="85" t="s">
        <v>143</v>
      </c>
      <c r="C43" s="87" t="s">
        <v>248</v>
      </c>
      <c r="D43" s="85" t="s">
        <v>123</v>
      </c>
      <c r="E43" s="103" t="s">
        <v>249</v>
      </c>
      <c r="F43" s="101">
        <f t="shared" si="3"/>
        <v>29800</v>
      </c>
      <c r="G43" s="102">
        <v>0.3</v>
      </c>
      <c r="H43" s="101">
        <f t="shared" si="4"/>
        <v>2000</v>
      </c>
      <c r="I43" s="90" t="s">
        <v>125</v>
      </c>
      <c r="J43" s="103" t="s">
        <v>126</v>
      </c>
      <c r="K43" s="103">
        <v>9710</v>
      </c>
      <c r="L43" s="116" t="s">
        <v>250</v>
      </c>
      <c r="M43" s="101">
        <f>22592.14*J2</f>
        <v>145947.483614</v>
      </c>
      <c r="N43" s="101">
        <v>29800</v>
      </c>
      <c r="O43" s="101">
        <v>29800</v>
      </c>
      <c r="P43" s="101">
        <v>29800</v>
      </c>
    </row>
    <row r="44" s="124" customFormat="true" customHeight="true" spans="1:17">
      <c r="A44" s="127">
        <v>41</v>
      </c>
      <c r="B44" s="128" t="s">
        <v>121</v>
      </c>
      <c r="C44" s="129" t="s">
        <v>251</v>
      </c>
      <c r="D44" s="128" t="s">
        <v>123</v>
      </c>
      <c r="E44" s="128" t="s">
        <v>124</v>
      </c>
      <c r="F44" s="142">
        <f t="shared" si="3"/>
        <v>0</v>
      </c>
      <c r="G44" s="143">
        <v>0.3</v>
      </c>
      <c r="H44" s="142">
        <f t="shared" si="4"/>
        <v>0</v>
      </c>
      <c r="I44" s="137" t="s">
        <v>125</v>
      </c>
      <c r="J44" s="147" t="s">
        <v>126</v>
      </c>
      <c r="K44" s="147">
        <v>9710</v>
      </c>
      <c r="L44" s="148" t="s">
        <v>252</v>
      </c>
      <c r="M44" s="142"/>
      <c r="N44" s="142"/>
      <c r="O44" s="142"/>
      <c r="P44" s="142"/>
      <c r="Q44" s="124" t="s">
        <v>253</v>
      </c>
    </row>
    <row r="45" s="125" customFormat="true" customHeight="true" spans="1:17">
      <c r="A45" s="133">
        <v>42</v>
      </c>
      <c r="B45" s="134" t="s">
        <v>254</v>
      </c>
      <c r="C45" s="135" t="s">
        <v>255</v>
      </c>
      <c r="D45" s="134" t="s">
        <v>256</v>
      </c>
      <c r="E45" s="134" t="s">
        <v>257</v>
      </c>
      <c r="F45" s="145">
        <f t="shared" si="3"/>
        <v>59600</v>
      </c>
      <c r="G45" s="146">
        <v>0.3</v>
      </c>
      <c r="H45" s="145">
        <f t="shared" si="4"/>
        <v>2000</v>
      </c>
      <c r="I45" s="134" t="s">
        <v>125</v>
      </c>
      <c r="J45" s="151" t="s">
        <v>125</v>
      </c>
      <c r="K45" s="151">
        <v>9710</v>
      </c>
      <c r="L45" s="149" t="s">
        <v>258</v>
      </c>
      <c r="M45" s="145">
        <f>208684.02*J2</f>
        <v>1348119.637602</v>
      </c>
      <c r="N45" s="145">
        <v>59600</v>
      </c>
      <c r="O45" s="145">
        <v>59600</v>
      </c>
      <c r="P45" s="145">
        <v>59600</v>
      </c>
      <c r="Q45" s="125" t="s">
        <v>259</v>
      </c>
    </row>
    <row r="46" s="124" customFormat="true" customHeight="true" spans="1:17">
      <c r="A46" s="127">
        <v>43</v>
      </c>
      <c r="B46" s="128" t="s">
        <v>153</v>
      </c>
      <c r="C46" s="129" t="s">
        <v>260</v>
      </c>
      <c r="D46" s="128" t="s">
        <v>123</v>
      </c>
      <c r="E46" s="128" t="s">
        <v>124</v>
      </c>
      <c r="F46" s="142">
        <f t="shared" si="3"/>
        <v>340000</v>
      </c>
      <c r="G46" s="143">
        <v>0.5</v>
      </c>
      <c r="H46" s="142">
        <f>ROUNDDOWN(MIN(F46*G46,30000),-2)</f>
        <v>30000</v>
      </c>
      <c r="I46" s="137" t="s">
        <v>135</v>
      </c>
      <c r="J46" s="147" t="s">
        <v>126</v>
      </c>
      <c r="K46" s="147">
        <v>1210</v>
      </c>
      <c r="L46" s="148" t="s">
        <v>261</v>
      </c>
      <c r="M46" s="142">
        <f>751025.43*J2</f>
        <v>4851699.380343</v>
      </c>
      <c r="N46" s="142">
        <v>340000</v>
      </c>
      <c r="O46" s="142">
        <v>340000</v>
      </c>
      <c r="P46" s="142">
        <v>369227.86</v>
      </c>
      <c r="Q46" s="124" t="s">
        <v>262</v>
      </c>
    </row>
    <row r="47" s="124" customFormat="true" customHeight="true" spans="1:17">
      <c r="A47" s="127">
        <v>44</v>
      </c>
      <c r="B47" s="128" t="s">
        <v>153</v>
      </c>
      <c r="C47" s="129" t="s">
        <v>263</v>
      </c>
      <c r="D47" s="128" t="s">
        <v>123</v>
      </c>
      <c r="E47" s="128" t="s">
        <v>124</v>
      </c>
      <c r="F47" s="142">
        <f t="shared" si="3"/>
        <v>116209.88</v>
      </c>
      <c r="G47" s="143">
        <v>0.3</v>
      </c>
      <c r="H47" s="142">
        <f>ROUNDDOWN(MIN(F47*G47,30000),-2)</f>
        <v>30000</v>
      </c>
      <c r="I47" s="137" t="s">
        <v>125</v>
      </c>
      <c r="J47" s="147" t="s">
        <v>126</v>
      </c>
      <c r="K47" s="147">
        <v>1210</v>
      </c>
      <c r="L47" s="148" t="s">
        <v>264</v>
      </c>
      <c r="M47" s="142">
        <f>3243936.99*J2</f>
        <v>20956157.349099</v>
      </c>
      <c r="N47" s="142">
        <v>129800</v>
      </c>
      <c r="O47" s="142">
        <v>138800</v>
      </c>
      <c r="P47" s="142">
        <v>116209.88</v>
      </c>
      <c r="Q47" s="124" t="s">
        <v>265</v>
      </c>
    </row>
    <row r="48" customHeight="true" spans="1:17">
      <c r="A48" s="84">
        <v>45</v>
      </c>
      <c r="B48" s="85" t="s">
        <v>121</v>
      </c>
      <c r="C48" s="87" t="s">
        <v>266</v>
      </c>
      <c r="D48" s="85" t="s">
        <v>123</v>
      </c>
      <c r="E48" s="85" t="s">
        <v>124</v>
      </c>
      <c r="F48" s="101">
        <f t="shared" si="3"/>
        <v>508000</v>
      </c>
      <c r="G48" s="102">
        <v>0.3</v>
      </c>
      <c r="H48" s="101">
        <f>ROUNDDOWN(MIN(F48*G48,30000),-2)</f>
        <v>30000</v>
      </c>
      <c r="I48" s="90" t="s">
        <v>125</v>
      </c>
      <c r="J48" s="103" t="s">
        <v>126</v>
      </c>
      <c r="K48" s="103">
        <v>9710</v>
      </c>
      <c r="L48" s="116" t="s">
        <v>267</v>
      </c>
      <c r="M48" s="101">
        <f>1221329.28*6.4601</f>
        <v>7889909.281728</v>
      </c>
      <c r="N48" s="101">
        <v>828000</v>
      </c>
      <c r="O48" s="101">
        <v>508000</v>
      </c>
      <c r="P48" s="101">
        <v>686259.15</v>
      </c>
      <c r="Q48" s="8" t="s">
        <v>268</v>
      </c>
    </row>
    <row r="49" customHeight="true" spans="1:17">
      <c r="A49" s="84">
        <v>46</v>
      </c>
      <c r="B49" s="85" t="s">
        <v>143</v>
      </c>
      <c r="C49" s="87" t="s">
        <v>269</v>
      </c>
      <c r="D49" s="85" t="s">
        <v>123</v>
      </c>
      <c r="E49" s="85" t="s">
        <v>124</v>
      </c>
      <c r="F49" s="101">
        <f t="shared" si="3"/>
        <v>80000</v>
      </c>
      <c r="G49" s="102">
        <v>0.5</v>
      </c>
      <c r="H49" s="101">
        <f>ROUNDDOWN(MIN(F49*G49,30000),-2)</f>
        <v>30000</v>
      </c>
      <c r="I49" s="90" t="s">
        <v>135</v>
      </c>
      <c r="J49" s="103" t="s">
        <v>126</v>
      </c>
      <c r="K49" s="103">
        <v>9710</v>
      </c>
      <c r="L49" s="116" t="s">
        <v>270</v>
      </c>
      <c r="M49" s="101">
        <f>1059515.1*J2</f>
        <v>6844573.49751</v>
      </c>
      <c r="N49" s="101">
        <v>80000</v>
      </c>
      <c r="O49" s="101">
        <v>80000</v>
      </c>
      <c r="P49" s="101">
        <v>80000</v>
      </c>
      <c r="Q49" s="8" t="s">
        <v>271</v>
      </c>
    </row>
    <row r="50" ht="34.95" customHeight="true" spans="1:17">
      <c r="A50" s="84">
        <v>47</v>
      </c>
      <c r="B50" s="85" t="s">
        <v>133</v>
      </c>
      <c r="C50" s="87" t="s">
        <v>272</v>
      </c>
      <c r="D50" s="85" t="s">
        <v>123</v>
      </c>
      <c r="E50" s="103" t="s">
        <v>273</v>
      </c>
      <c r="F50" s="101">
        <f t="shared" si="3"/>
        <v>126928.86</v>
      </c>
      <c r="G50" s="102">
        <v>0.5</v>
      </c>
      <c r="H50" s="101">
        <f>ROUNDDOWN(MIN(F50*G50,70000),-2)</f>
        <v>63400</v>
      </c>
      <c r="I50" s="90" t="s">
        <v>125</v>
      </c>
      <c r="J50" s="103" t="s">
        <v>136</v>
      </c>
      <c r="K50" s="103">
        <v>9710</v>
      </c>
      <c r="L50" s="116" t="s">
        <v>274</v>
      </c>
      <c r="M50" s="101">
        <f>3914730.57*J2</f>
        <v>25289550.955257</v>
      </c>
      <c r="N50" s="101">
        <v>139180</v>
      </c>
      <c r="O50" s="101">
        <v>140180</v>
      </c>
      <c r="P50" s="101">
        <v>126928.86</v>
      </c>
      <c r="Q50" s="8" t="s">
        <v>275</v>
      </c>
    </row>
    <row r="51" customHeight="true" spans="1:16">
      <c r="A51" s="84">
        <v>48</v>
      </c>
      <c r="B51" s="85" t="s">
        <v>133</v>
      </c>
      <c r="C51" s="87" t="s">
        <v>276</v>
      </c>
      <c r="D51" s="85" t="s">
        <v>123</v>
      </c>
      <c r="E51" s="85" t="s">
        <v>124</v>
      </c>
      <c r="F51" s="101">
        <f t="shared" si="3"/>
        <v>358704.08</v>
      </c>
      <c r="G51" s="102">
        <v>0.5</v>
      </c>
      <c r="H51" s="101">
        <f>ROUNDDOWN(MIN(F51*G51,30000),-2)</f>
        <v>30000</v>
      </c>
      <c r="I51" s="90" t="s">
        <v>125</v>
      </c>
      <c r="J51" s="103" t="s">
        <v>136</v>
      </c>
      <c r="K51" s="103">
        <v>9710</v>
      </c>
      <c r="L51" s="116" t="s">
        <v>277</v>
      </c>
      <c r="M51" s="101">
        <f>1123956.47*J2</f>
        <v>7260871.191847</v>
      </c>
      <c r="N51" s="101">
        <v>363400</v>
      </c>
      <c r="O51" s="101">
        <v>363400</v>
      </c>
      <c r="P51" s="101">
        <v>358704.08</v>
      </c>
    </row>
    <row r="52" s="124" customFormat="true" customHeight="true" spans="1:17">
      <c r="A52" s="127">
        <v>49</v>
      </c>
      <c r="B52" s="128" t="s">
        <v>169</v>
      </c>
      <c r="C52" s="129" t="s">
        <v>278</v>
      </c>
      <c r="D52" s="128" t="s">
        <v>123</v>
      </c>
      <c r="E52" s="128" t="s">
        <v>124</v>
      </c>
      <c r="F52" s="142">
        <f t="shared" si="3"/>
        <v>224972.89</v>
      </c>
      <c r="G52" s="143">
        <v>0.3</v>
      </c>
      <c r="H52" s="142">
        <f>ROUNDDOWN(MIN(F52*G52,2000),-2)</f>
        <v>2000</v>
      </c>
      <c r="I52" s="137" t="s">
        <v>125</v>
      </c>
      <c r="J52" s="147" t="s">
        <v>126</v>
      </c>
      <c r="K52" s="147">
        <v>9710</v>
      </c>
      <c r="L52" s="148" t="s">
        <v>279</v>
      </c>
      <c r="M52" s="142">
        <f>437087*J2</f>
        <v>2823625.7287</v>
      </c>
      <c r="N52" s="142">
        <v>266820</v>
      </c>
      <c r="O52" s="142">
        <v>231310</v>
      </c>
      <c r="P52" s="142">
        <v>224972.89</v>
      </c>
      <c r="Q52" s="124" t="s">
        <v>280</v>
      </c>
    </row>
    <row r="53" customHeight="true" spans="1:17">
      <c r="A53" s="84">
        <v>50</v>
      </c>
      <c r="B53" s="85" t="s">
        <v>133</v>
      </c>
      <c r="C53" s="88" t="s">
        <v>281</v>
      </c>
      <c r="D53" s="85" t="s">
        <v>123</v>
      </c>
      <c r="E53" s="85" t="s">
        <v>124</v>
      </c>
      <c r="F53" s="101">
        <f t="shared" si="3"/>
        <v>25000</v>
      </c>
      <c r="G53" s="102">
        <v>0.3</v>
      </c>
      <c r="H53" s="101">
        <f t="shared" si="4"/>
        <v>2000</v>
      </c>
      <c r="I53" s="90" t="s">
        <v>125</v>
      </c>
      <c r="J53" s="103" t="s">
        <v>126</v>
      </c>
      <c r="K53" s="103">
        <v>9710</v>
      </c>
      <c r="L53" s="116" t="s">
        <v>282</v>
      </c>
      <c r="M53" s="101">
        <f>397166.04*J2</f>
        <v>2565732.335004</v>
      </c>
      <c r="N53" s="101">
        <v>25000</v>
      </c>
      <c r="O53" s="101">
        <v>25000</v>
      </c>
      <c r="P53" s="101">
        <v>64700</v>
      </c>
      <c r="Q53" s="8" t="s">
        <v>283</v>
      </c>
    </row>
    <row r="54" s="124" customFormat="true" ht="32.4" customHeight="true" spans="1:17">
      <c r="A54" s="127">
        <v>51</v>
      </c>
      <c r="B54" s="128" t="s">
        <v>121</v>
      </c>
      <c r="C54" s="129" t="s">
        <v>284</v>
      </c>
      <c r="D54" s="128" t="s">
        <v>123</v>
      </c>
      <c r="E54" s="147" t="s">
        <v>285</v>
      </c>
      <c r="F54" s="142">
        <f t="shared" si="3"/>
        <v>46288</v>
      </c>
      <c r="G54" s="143">
        <v>0.5</v>
      </c>
      <c r="H54" s="142">
        <f>ROUNDDOWN(MIN(F54*G54,70000),-2)</f>
        <v>23100</v>
      </c>
      <c r="I54" s="137" t="s">
        <v>125</v>
      </c>
      <c r="J54" s="147" t="s">
        <v>136</v>
      </c>
      <c r="K54" s="147">
        <v>9710</v>
      </c>
      <c r="L54" s="148" t="s">
        <v>286</v>
      </c>
      <c r="M54" s="142">
        <f>4741782.51*J2</f>
        <v>30632389.192851</v>
      </c>
      <c r="N54" s="142">
        <v>49288</v>
      </c>
      <c r="O54" s="142">
        <v>46288</v>
      </c>
      <c r="P54" s="142">
        <v>49288</v>
      </c>
      <c r="Q54" s="124" t="s">
        <v>287</v>
      </c>
    </row>
    <row r="55" customHeight="true" spans="1:17">
      <c r="A55" s="84">
        <v>52</v>
      </c>
      <c r="B55" s="85" t="s">
        <v>147</v>
      </c>
      <c r="C55" s="87" t="s">
        <v>288</v>
      </c>
      <c r="D55" s="85" t="s">
        <v>123</v>
      </c>
      <c r="E55" s="85" t="s">
        <v>124</v>
      </c>
      <c r="F55" s="101">
        <f t="shared" si="3"/>
        <v>60847.54</v>
      </c>
      <c r="G55" s="102">
        <v>0.3</v>
      </c>
      <c r="H55" s="101">
        <f>ROUNDDOWN(MIN(F55*G55,2000),-2)</f>
        <v>2000</v>
      </c>
      <c r="I55" s="90" t="s">
        <v>125</v>
      </c>
      <c r="J55" s="103" t="s">
        <v>126</v>
      </c>
      <c r="K55" s="103">
        <v>9710</v>
      </c>
      <c r="L55" s="116" t="s">
        <v>289</v>
      </c>
      <c r="M55" s="101">
        <f>16227*J2</f>
        <v>104828.0427</v>
      </c>
      <c r="N55" s="101">
        <v>69800</v>
      </c>
      <c r="O55" s="101">
        <v>69800</v>
      </c>
      <c r="P55" s="101">
        <v>60847.54</v>
      </c>
      <c r="Q55" s="17"/>
    </row>
    <row r="56" s="124" customFormat="true" customHeight="true" spans="1:17">
      <c r="A56" s="127">
        <v>53</v>
      </c>
      <c r="B56" s="128" t="s">
        <v>121</v>
      </c>
      <c r="C56" s="129" t="s">
        <v>290</v>
      </c>
      <c r="D56" s="128" t="s">
        <v>123</v>
      </c>
      <c r="E56" s="128" t="s">
        <v>291</v>
      </c>
      <c r="F56" s="142">
        <f t="shared" si="3"/>
        <v>0</v>
      </c>
      <c r="G56" s="143">
        <v>0.3</v>
      </c>
      <c r="H56" s="142">
        <f>ROUNDDOWN(MIN(F56*G56,2000),-2)</f>
        <v>0</v>
      </c>
      <c r="I56" s="137" t="s">
        <v>125</v>
      </c>
      <c r="J56" s="147" t="s">
        <v>126</v>
      </c>
      <c r="K56" s="147"/>
      <c r="L56" s="148"/>
      <c r="M56" s="142"/>
      <c r="N56" s="142"/>
      <c r="O56" s="142"/>
      <c r="P56" s="142"/>
      <c r="Q56" s="124" t="s">
        <v>292</v>
      </c>
    </row>
    <row r="57" customHeight="true" spans="1:16">
      <c r="A57" s="84">
        <v>54</v>
      </c>
      <c r="B57" s="85" t="s">
        <v>186</v>
      </c>
      <c r="C57" s="87" t="s">
        <v>293</v>
      </c>
      <c r="D57" s="85" t="s">
        <v>123</v>
      </c>
      <c r="E57" s="85" t="s">
        <v>124</v>
      </c>
      <c r="F57" s="101">
        <f t="shared" si="3"/>
        <v>80000</v>
      </c>
      <c r="G57" s="102">
        <v>0.3</v>
      </c>
      <c r="H57" s="101">
        <f>ROUNDDOWN(MIN(F57*G57,2000),-2)</f>
        <v>2000</v>
      </c>
      <c r="I57" s="90" t="s">
        <v>125</v>
      </c>
      <c r="J57" s="103" t="s">
        <v>126</v>
      </c>
      <c r="K57" s="103">
        <v>9710</v>
      </c>
      <c r="L57" s="116" t="s">
        <v>294</v>
      </c>
      <c r="M57" s="101">
        <f>153988.32*J2</f>
        <v>994779.946032</v>
      </c>
      <c r="N57" s="101">
        <v>80000</v>
      </c>
      <c r="O57" s="101">
        <v>90000</v>
      </c>
      <c r="P57" s="101">
        <v>80000</v>
      </c>
    </row>
    <row r="58" customHeight="true" spans="1:16">
      <c r="A58" s="84">
        <v>55</v>
      </c>
      <c r="B58" s="85" t="s">
        <v>295</v>
      </c>
      <c r="C58" s="87" t="s">
        <v>296</v>
      </c>
      <c r="D58" s="85" t="s">
        <v>123</v>
      </c>
      <c r="E58" s="85" t="s">
        <v>124</v>
      </c>
      <c r="F58" s="101">
        <f t="shared" si="3"/>
        <v>90000</v>
      </c>
      <c r="G58" s="102">
        <v>0.3</v>
      </c>
      <c r="H58" s="101">
        <f t="shared" ref="H58" si="5">ROUNDDOWN(MIN(F58*G58,2000),-2)</f>
        <v>2000</v>
      </c>
      <c r="I58" s="90" t="s">
        <v>125</v>
      </c>
      <c r="J58" s="103" t="s">
        <v>126</v>
      </c>
      <c r="K58" s="103">
        <v>9710</v>
      </c>
      <c r="L58" s="116" t="s">
        <v>297</v>
      </c>
      <c r="M58" s="101">
        <f>166188*J2</f>
        <v>1073591.0988</v>
      </c>
      <c r="N58" s="101">
        <v>90000</v>
      </c>
      <c r="O58" s="101">
        <v>95000</v>
      </c>
      <c r="P58" s="101">
        <v>98312.11</v>
      </c>
    </row>
    <row r="59" s="124" customFormat="true" customHeight="true" spans="1:17">
      <c r="A59" s="127">
        <v>56</v>
      </c>
      <c r="B59" s="128" t="s">
        <v>139</v>
      </c>
      <c r="C59" s="129" t="s">
        <v>298</v>
      </c>
      <c r="D59" s="128" t="s">
        <v>123</v>
      </c>
      <c r="E59" s="128" t="s">
        <v>165</v>
      </c>
      <c r="F59" s="142">
        <f t="shared" si="3"/>
        <v>0</v>
      </c>
      <c r="G59" s="143">
        <v>0.5</v>
      </c>
      <c r="H59" s="142">
        <f>ROUNDDOWN(MIN(F59*G59,70000),-2)</f>
        <v>0</v>
      </c>
      <c r="I59" s="137" t="s">
        <v>125</v>
      </c>
      <c r="J59" s="147" t="s">
        <v>136</v>
      </c>
      <c r="K59" s="147"/>
      <c r="L59" s="148" t="s">
        <v>299</v>
      </c>
      <c r="M59" s="142"/>
      <c r="N59" s="142"/>
      <c r="O59" s="142"/>
      <c r="P59" s="142"/>
      <c r="Q59" s="124" t="s">
        <v>300</v>
      </c>
    </row>
    <row r="60" s="124" customFormat="true" customHeight="true" spans="1:17">
      <c r="A60" s="136">
        <v>57</v>
      </c>
      <c r="B60" s="137" t="s">
        <v>301</v>
      </c>
      <c r="C60" s="138" t="s">
        <v>302</v>
      </c>
      <c r="D60" s="137" t="s">
        <v>256</v>
      </c>
      <c r="E60" s="137" t="s">
        <v>257</v>
      </c>
      <c r="F60" s="142">
        <f t="shared" si="3"/>
        <v>149600</v>
      </c>
      <c r="G60" s="143">
        <v>0.3</v>
      </c>
      <c r="H60" s="142">
        <f>ROUNDDOWN(MIN(F60*G60,30000),-2)</f>
        <v>30000</v>
      </c>
      <c r="I60" s="137" t="s">
        <v>125</v>
      </c>
      <c r="J60" s="152" t="s">
        <v>125</v>
      </c>
      <c r="K60" s="152">
        <v>9710</v>
      </c>
      <c r="L60" s="148" t="s">
        <v>303</v>
      </c>
      <c r="M60" s="142">
        <f>529392.17*J2</f>
        <v>3419926.357417</v>
      </c>
      <c r="N60" s="142">
        <v>149600</v>
      </c>
      <c r="O60" s="142">
        <v>149600</v>
      </c>
      <c r="P60" s="142">
        <v>149600</v>
      </c>
      <c r="Q60" s="124" t="s">
        <v>304</v>
      </c>
    </row>
    <row r="61" customHeight="true" spans="7:7">
      <c r="G61" s="9"/>
    </row>
    <row r="62" customHeight="true" spans="7:13">
      <c r="G62" s="9"/>
      <c r="H62" s="9">
        <f t="shared" ref="H62" si="6">SUM(H4:H61)</f>
        <v>1344800</v>
      </c>
      <c r="M62" s="120"/>
    </row>
    <row r="63" customHeight="true" spans="7:13">
      <c r="G63" s="9"/>
      <c r="M63" s="120"/>
    </row>
    <row r="64" customHeight="true" spans="13:16">
      <c r="M64" s="120"/>
      <c r="N64" s="120"/>
      <c r="O64" s="120"/>
      <c r="P64" s="120"/>
    </row>
    <row r="65" s="8" customFormat="true" customHeight="true" spans="6:16">
      <c r="F65" s="9"/>
      <c r="G65" s="76"/>
      <c r="H65" s="9"/>
      <c r="I65" s="9"/>
      <c r="L65" s="77"/>
      <c r="M65" s="78"/>
      <c r="N65" s="123"/>
      <c r="O65" s="123"/>
      <c r="P65" s="123"/>
    </row>
    <row r="66" s="8" customFormat="true" customHeight="true" spans="6:16">
      <c r="F66" s="9"/>
      <c r="G66" s="76"/>
      <c r="H66" s="9"/>
      <c r="I66" s="9"/>
      <c r="L66" s="77"/>
      <c r="M66" s="78"/>
      <c r="N66" s="120"/>
      <c r="O66" s="120"/>
      <c r="P66" s="120"/>
    </row>
    <row r="67" s="8" customFormat="true" customHeight="true" spans="6:14">
      <c r="F67" s="9"/>
      <c r="G67" s="122"/>
      <c r="H67" s="9"/>
      <c r="I67" s="9"/>
      <c r="L67" s="77"/>
      <c r="M67" s="78"/>
      <c r="N67" s="78"/>
    </row>
    <row r="68" s="8" customFormat="true" customHeight="true" spans="12:14">
      <c r="L68" s="77"/>
      <c r="M68" s="78"/>
      <c r="N68" s="78"/>
    </row>
    <row r="69" s="8" customFormat="true" customHeight="true" spans="12:14">
      <c r="L69" s="77"/>
      <c r="M69" s="78"/>
      <c r="N69" s="78"/>
    </row>
    <row r="70" s="8" customFormat="true" customHeight="true" spans="12:14">
      <c r="L70" s="77"/>
      <c r="M70" s="78"/>
      <c r="N70" s="78"/>
    </row>
    <row r="71" s="8" customFormat="true" customHeight="true" spans="12:14">
      <c r="L71" s="77"/>
      <c r="M71" s="78"/>
      <c r="N71" s="78"/>
    </row>
    <row r="72" s="8" customFormat="true" customHeight="true" spans="12:14">
      <c r="L72" s="77"/>
      <c r="M72" s="78"/>
      <c r="N72" s="78"/>
    </row>
    <row r="73" s="8" customFormat="true" customHeight="true" spans="12:14">
      <c r="L73" s="77"/>
      <c r="M73" s="78"/>
      <c r="N73" s="78"/>
    </row>
    <row r="74" s="8" customFormat="true" customHeight="true" spans="12:14">
      <c r="L74" s="77"/>
      <c r="M74" s="78"/>
      <c r="N74" s="78"/>
    </row>
  </sheetData>
  <autoFilter ref="A3:Q60">
    <extLst/>
  </autoFilter>
  <mergeCells count="1">
    <mergeCell ref="A1:H1"/>
  </mergeCells>
  <pageMargins left="0.7" right="0.7" top="0.75" bottom="0.75" header="0.3" footer="0.3"/>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4"/>
  <sheetViews>
    <sheetView workbookViewId="0">
      <pane xSplit="4" ySplit="3" topLeftCell="E48" activePane="bottomRight" state="frozen"/>
      <selection/>
      <selection pane="topRight"/>
      <selection pane="bottomLeft"/>
      <selection pane="bottomRight" activeCell="F13" sqref="F13"/>
    </sheetView>
  </sheetViews>
  <sheetFormatPr defaultColWidth="8.775" defaultRowHeight="13.5"/>
  <cols>
    <col min="1" max="1" width="6.44166666666667" style="5" customWidth="true"/>
    <col min="2" max="2" width="10.3333333333333" style="5" hidden="true" customWidth="true"/>
    <col min="3" max="3" width="12.2166666666667" style="5" customWidth="true"/>
    <col min="4" max="4" width="37.3333333333333" style="8" customWidth="true"/>
    <col min="5" max="5" width="14.1083333333333" style="5" customWidth="true"/>
    <col min="6" max="6" width="15.3333333333333" style="5" customWidth="true"/>
    <col min="7" max="7" width="12.3333333333333" style="9" customWidth="true"/>
    <col min="8" max="8" width="9.44166666666667" style="76" customWidth="true"/>
    <col min="9" max="9" width="17.4416666666667" style="9" customWidth="true"/>
    <col min="10" max="10" width="9.10833333333333" style="9" customWidth="true"/>
    <col min="11" max="11" width="8.55833333333333" style="8" customWidth="true"/>
    <col min="12" max="12" width="5.775" style="8" customWidth="true"/>
    <col min="13" max="13" width="12.6666666666667" style="77" customWidth="true"/>
    <col min="14" max="14" width="13.5583333333333" style="78" customWidth="true"/>
    <col min="15" max="15" width="12" style="78" customWidth="true"/>
    <col min="16" max="16" width="11.775" style="8" customWidth="true"/>
    <col min="17" max="17" width="11.8833333333333" style="8" customWidth="true"/>
    <col min="18" max="18" width="30.1083333333333" style="8" customWidth="true"/>
    <col min="19" max="19" width="11.4416666666667" style="8" customWidth="true"/>
    <col min="20" max="20" width="11.6666666666667" style="8" customWidth="true"/>
    <col min="21" max="21" width="8.775" style="8"/>
    <col min="22" max="22" width="11.4416666666667" style="8" customWidth="true"/>
    <col min="23" max="16384" width="8.775" style="8"/>
  </cols>
  <sheetData>
    <row r="1" ht="41.4" customHeight="true" spans="1:14">
      <c r="A1" s="79" t="s">
        <v>305</v>
      </c>
      <c r="B1" s="79"/>
      <c r="C1" s="79"/>
      <c r="D1" s="79"/>
      <c r="E1" s="79"/>
      <c r="F1" s="79"/>
      <c r="G1" s="79"/>
      <c r="H1" s="96"/>
      <c r="I1" s="79"/>
      <c r="J1" s="105"/>
      <c r="K1" s="8" t="s">
        <v>104</v>
      </c>
      <c r="M1" s="114"/>
      <c r="N1" s="115"/>
    </row>
    <row r="2" ht="19.95" customHeight="true" spans="1:18">
      <c r="A2" s="80"/>
      <c r="B2" s="80"/>
      <c r="C2" s="80"/>
      <c r="D2" s="81"/>
      <c r="E2" s="80"/>
      <c r="F2" s="80"/>
      <c r="G2" s="97"/>
      <c r="H2" s="98"/>
      <c r="I2" s="106" t="s">
        <v>306</v>
      </c>
      <c r="J2" s="107" t="s">
        <v>106</v>
      </c>
      <c r="K2" s="108">
        <v>6.4601</v>
      </c>
      <c r="L2" s="109"/>
      <c r="M2" s="107" t="s">
        <v>107</v>
      </c>
      <c r="N2" s="80">
        <v>7.6862</v>
      </c>
      <c r="O2" s="8"/>
      <c r="R2" s="15"/>
    </row>
    <row r="3" s="11" customFormat="true" ht="30" customHeight="true" spans="1:17">
      <c r="A3" s="82" t="s">
        <v>25</v>
      </c>
      <c r="B3" s="82" t="s">
        <v>26</v>
      </c>
      <c r="C3" s="83" t="s">
        <v>307</v>
      </c>
      <c r="D3" s="83" t="s">
        <v>308</v>
      </c>
      <c r="E3" s="82" t="s">
        <v>108</v>
      </c>
      <c r="F3" s="82" t="s">
        <v>109</v>
      </c>
      <c r="G3" s="99" t="s">
        <v>110</v>
      </c>
      <c r="H3" s="100" t="s">
        <v>111</v>
      </c>
      <c r="I3" s="110" t="s">
        <v>309</v>
      </c>
      <c r="J3" s="100" t="s">
        <v>113</v>
      </c>
      <c r="K3" s="100" t="s">
        <v>114</v>
      </c>
      <c r="L3" s="100" t="s">
        <v>115</v>
      </c>
      <c r="M3" s="100" t="s">
        <v>116</v>
      </c>
      <c r="N3" s="100" t="s">
        <v>310</v>
      </c>
      <c r="O3" s="100" t="s">
        <v>118</v>
      </c>
      <c r="P3" s="100" t="s">
        <v>119</v>
      </c>
      <c r="Q3" s="100" t="s">
        <v>120</v>
      </c>
    </row>
    <row r="4" ht="19.95" customHeight="true" spans="1:22">
      <c r="A4" s="84">
        <v>1</v>
      </c>
      <c r="B4" s="85" t="s">
        <v>121</v>
      </c>
      <c r="C4" s="86" t="s">
        <v>37</v>
      </c>
      <c r="D4" s="87" t="s">
        <v>122</v>
      </c>
      <c r="E4" s="85" t="s">
        <v>123</v>
      </c>
      <c r="F4" s="85" t="s">
        <v>124</v>
      </c>
      <c r="G4" s="101">
        <f t="shared" ref="G4:G60" si="0">MIN(O4,Q4,P4)</f>
        <v>200189.82</v>
      </c>
      <c r="H4" s="102">
        <v>0.3</v>
      </c>
      <c r="I4" s="101">
        <f>ROUNDDOWN(MIN(G4*H4,30000),-2)</f>
        <v>30000</v>
      </c>
      <c r="J4" s="90" t="s">
        <v>125</v>
      </c>
      <c r="K4" s="103" t="s">
        <v>126</v>
      </c>
      <c r="L4" s="103">
        <v>9710</v>
      </c>
      <c r="M4" s="116" t="s">
        <v>127</v>
      </c>
      <c r="N4" s="101">
        <f>1222697.33*K2</f>
        <v>7898747.021533</v>
      </c>
      <c r="O4" s="101">
        <v>203670</v>
      </c>
      <c r="P4" s="101">
        <v>200189.82</v>
      </c>
      <c r="Q4" s="101">
        <v>203670</v>
      </c>
      <c r="S4" s="17"/>
      <c r="T4" s="17"/>
      <c r="V4" s="17"/>
    </row>
    <row r="5" ht="19.95" customHeight="true" spans="1:22">
      <c r="A5" s="84">
        <v>2</v>
      </c>
      <c r="B5" s="85" t="s">
        <v>128</v>
      </c>
      <c r="C5" s="86" t="s">
        <v>40</v>
      </c>
      <c r="D5" s="87" t="s">
        <v>129</v>
      </c>
      <c r="E5" s="85" t="s">
        <v>123</v>
      </c>
      <c r="F5" s="103" t="s">
        <v>130</v>
      </c>
      <c r="G5" s="101">
        <f t="shared" si="0"/>
        <v>266430</v>
      </c>
      <c r="H5" s="102">
        <v>0.3</v>
      </c>
      <c r="I5" s="101">
        <f>ROUNDDOWN(MIN(G5*H5,70000),-2)</f>
        <v>70000</v>
      </c>
      <c r="J5" s="90" t="s">
        <v>125</v>
      </c>
      <c r="K5" s="103" t="s">
        <v>126</v>
      </c>
      <c r="L5" s="103">
        <v>9710</v>
      </c>
      <c r="M5" s="116" t="s">
        <v>131</v>
      </c>
      <c r="N5" s="101">
        <f>3498073.42*K2</f>
        <v>22597904.100542</v>
      </c>
      <c r="O5" s="101">
        <v>266430</v>
      </c>
      <c r="P5" s="101">
        <v>299230</v>
      </c>
      <c r="Q5" s="101">
        <v>266430</v>
      </c>
      <c r="S5" s="17"/>
      <c r="T5" s="17"/>
      <c r="V5" s="17"/>
    </row>
    <row r="6" ht="19.95" customHeight="true" spans="1:22">
      <c r="A6" s="84">
        <v>3</v>
      </c>
      <c r="B6" s="85" t="s">
        <v>133</v>
      </c>
      <c r="C6" s="86" t="s">
        <v>45</v>
      </c>
      <c r="D6" s="87" t="s">
        <v>134</v>
      </c>
      <c r="E6" s="85" t="s">
        <v>123</v>
      </c>
      <c r="F6" s="85" t="s">
        <v>124</v>
      </c>
      <c r="G6" s="101">
        <f t="shared" si="0"/>
        <v>1493770</v>
      </c>
      <c r="H6" s="102">
        <v>0.5</v>
      </c>
      <c r="I6" s="101">
        <f>ROUNDDOWN(MIN(G6*H6,70000),-2)</f>
        <v>70000</v>
      </c>
      <c r="J6" s="90" t="s">
        <v>135</v>
      </c>
      <c r="K6" s="103" t="s">
        <v>136</v>
      </c>
      <c r="L6" s="103">
        <v>9710</v>
      </c>
      <c r="M6" s="116" t="s">
        <v>137</v>
      </c>
      <c r="N6" s="101">
        <f>6480287.89*K2</f>
        <v>41863307.798189</v>
      </c>
      <c r="O6" s="101">
        <v>1593770</v>
      </c>
      <c r="P6" s="101">
        <v>1493770</v>
      </c>
      <c r="Q6" s="101">
        <v>1493770</v>
      </c>
      <c r="S6" s="17"/>
      <c r="T6" s="17"/>
      <c r="V6" s="17"/>
    </row>
    <row r="7" ht="19.95" customHeight="true" spans="1:22">
      <c r="A7" s="84">
        <v>4</v>
      </c>
      <c r="B7" s="85" t="s">
        <v>139</v>
      </c>
      <c r="C7" s="86" t="s">
        <v>41</v>
      </c>
      <c r="D7" s="87" t="s">
        <v>140</v>
      </c>
      <c r="E7" s="85" t="s">
        <v>123</v>
      </c>
      <c r="F7" s="85" t="s">
        <v>124</v>
      </c>
      <c r="G7" s="101">
        <f t="shared" si="0"/>
        <v>80000</v>
      </c>
      <c r="H7" s="102">
        <v>0.3</v>
      </c>
      <c r="I7" s="101">
        <f>ROUNDDOWN(MIN(G7*H7,30000),-2)</f>
        <v>24000</v>
      </c>
      <c r="J7" s="90" t="s">
        <v>125</v>
      </c>
      <c r="K7" s="103" t="s">
        <v>126</v>
      </c>
      <c r="L7" s="103">
        <v>9710</v>
      </c>
      <c r="M7" s="116" t="s">
        <v>141</v>
      </c>
      <c r="N7" s="101">
        <f>997045.28*K2</f>
        <v>6441012.213328</v>
      </c>
      <c r="O7" s="101">
        <v>80000</v>
      </c>
      <c r="P7" s="101">
        <v>80000</v>
      </c>
      <c r="Q7" s="101">
        <v>94019.3</v>
      </c>
      <c r="R7" s="8" t="s">
        <v>311</v>
      </c>
      <c r="S7" s="17"/>
      <c r="T7" s="17"/>
      <c r="V7" s="17"/>
    </row>
    <row r="8" ht="19.95" customHeight="true" spans="1:22">
      <c r="A8" s="84">
        <v>5</v>
      </c>
      <c r="B8" s="85" t="s">
        <v>143</v>
      </c>
      <c r="C8" s="86" t="s">
        <v>46</v>
      </c>
      <c r="D8" s="87" t="s">
        <v>144</v>
      </c>
      <c r="E8" s="85" t="s">
        <v>123</v>
      </c>
      <c r="F8" s="85" t="s">
        <v>124</v>
      </c>
      <c r="G8" s="101">
        <f t="shared" si="0"/>
        <v>80000</v>
      </c>
      <c r="H8" s="102">
        <v>0.5</v>
      </c>
      <c r="I8" s="101">
        <f>ROUNDDOWN(MIN(G8*H8,30000),-2)</f>
        <v>30000</v>
      </c>
      <c r="J8" s="90" t="s">
        <v>135</v>
      </c>
      <c r="K8" s="103" t="s">
        <v>126</v>
      </c>
      <c r="L8" s="103">
        <v>9710</v>
      </c>
      <c r="M8" s="116" t="s">
        <v>145</v>
      </c>
      <c r="N8" s="101">
        <f>1503762.93*K2</f>
        <v>9714458.904093</v>
      </c>
      <c r="O8" s="101">
        <v>80000</v>
      </c>
      <c r="P8" s="101">
        <v>90000</v>
      </c>
      <c r="Q8" s="101">
        <v>80000</v>
      </c>
      <c r="S8" s="17"/>
      <c r="T8" s="17"/>
      <c r="V8" s="17"/>
    </row>
    <row r="9" ht="19.95" customHeight="true" spans="1:22">
      <c r="A9" s="84">
        <v>6</v>
      </c>
      <c r="B9" s="85" t="s">
        <v>147</v>
      </c>
      <c r="C9" s="86" t="s">
        <v>48</v>
      </c>
      <c r="D9" s="87" t="s">
        <v>148</v>
      </c>
      <c r="E9" s="85" t="s">
        <v>123</v>
      </c>
      <c r="F9" s="85" t="s">
        <v>124</v>
      </c>
      <c r="G9" s="101">
        <f t="shared" si="0"/>
        <v>95587.95</v>
      </c>
      <c r="H9" s="102">
        <v>0.5</v>
      </c>
      <c r="I9" s="101">
        <f>ROUNDDOWN(MIN(G9*H9,30000),-2)</f>
        <v>30000</v>
      </c>
      <c r="J9" s="90" t="s">
        <v>125</v>
      </c>
      <c r="K9" s="111" t="s">
        <v>312</v>
      </c>
      <c r="L9" s="103">
        <v>9710</v>
      </c>
      <c r="M9" s="116" t="s">
        <v>149</v>
      </c>
      <c r="N9" s="101">
        <f>2050858.08*K2</f>
        <v>13248748.282608</v>
      </c>
      <c r="O9" s="101">
        <v>170000</v>
      </c>
      <c r="P9" s="101">
        <v>150000</v>
      </c>
      <c r="Q9" s="101">
        <v>95587.95</v>
      </c>
      <c r="S9" s="17"/>
      <c r="T9" s="17"/>
      <c r="V9" s="17"/>
    </row>
    <row r="10" ht="19.95" customHeight="true" spans="1:22">
      <c r="A10" s="84">
        <v>7</v>
      </c>
      <c r="B10" s="85" t="s">
        <v>121</v>
      </c>
      <c r="C10" s="86" t="s">
        <v>37</v>
      </c>
      <c r="D10" s="87" t="s">
        <v>151</v>
      </c>
      <c r="E10" s="85" t="s">
        <v>123</v>
      </c>
      <c r="F10" s="103" t="s">
        <v>130</v>
      </c>
      <c r="G10" s="101">
        <f t="shared" si="0"/>
        <v>101600</v>
      </c>
      <c r="H10" s="102">
        <v>0.3</v>
      </c>
      <c r="I10" s="101">
        <f>ROUNDDOWN(MIN(G10*H10,30000),-2)</f>
        <v>30000</v>
      </c>
      <c r="J10" s="90" t="s">
        <v>125</v>
      </c>
      <c r="K10" s="103" t="s">
        <v>126</v>
      </c>
      <c r="L10" s="103">
        <v>9710</v>
      </c>
      <c r="M10" s="116" t="s">
        <v>152</v>
      </c>
      <c r="N10" s="101">
        <f>1279878.03*K2</f>
        <v>8268140.061603</v>
      </c>
      <c r="O10" s="101">
        <v>101600</v>
      </c>
      <c r="P10" s="101">
        <v>101600</v>
      </c>
      <c r="Q10" s="101">
        <v>101600</v>
      </c>
      <c r="S10" s="17"/>
      <c r="T10" s="17"/>
      <c r="V10" s="17"/>
    </row>
    <row r="11" ht="19.95" customHeight="true" spans="1:22">
      <c r="A11" s="84">
        <v>8</v>
      </c>
      <c r="B11" s="85" t="s">
        <v>153</v>
      </c>
      <c r="C11" s="86" t="s">
        <v>47</v>
      </c>
      <c r="D11" s="87" t="s">
        <v>154</v>
      </c>
      <c r="E11" s="85" t="s">
        <v>123</v>
      </c>
      <c r="F11" s="103" t="s">
        <v>130</v>
      </c>
      <c r="G11" s="101">
        <f t="shared" si="0"/>
        <v>148240.77</v>
      </c>
      <c r="H11" s="102">
        <v>0.3</v>
      </c>
      <c r="I11" s="101">
        <f>ROUNDDOWN(MIN(G11*H11,30000),-2)</f>
        <v>30000</v>
      </c>
      <c r="J11" s="90" t="s">
        <v>125</v>
      </c>
      <c r="K11" s="103" t="s">
        <v>126</v>
      </c>
      <c r="L11" s="103">
        <v>9710</v>
      </c>
      <c r="M11" s="116" t="s">
        <v>155</v>
      </c>
      <c r="N11" s="101">
        <f>561994.56*K2</f>
        <v>3630541.057056</v>
      </c>
      <c r="O11" s="101">
        <v>178000</v>
      </c>
      <c r="P11" s="101">
        <v>158240.77</v>
      </c>
      <c r="Q11" s="101">
        <v>148240.77</v>
      </c>
      <c r="S11" s="17"/>
      <c r="T11" s="17"/>
      <c r="V11" s="17"/>
    </row>
    <row r="12" ht="19.95" customHeight="true" spans="1:22">
      <c r="A12" s="84">
        <v>9</v>
      </c>
      <c r="B12" s="85" t="s">
        <v>121</v>
      </c>
      <c r="C12" s="86" t="s">
        <v>44</v>
      </c>
      <c r="D12" s="87" t="s">
        <v>157</v>
      </c>
      <c r="E12" s="85" t="s">
        <v>123</v>
      </c>
      <c r="F12" s="85" t="s">
        <v>124</v>
      </c>
      <c r="G12" s="101">
        <f t="shared" si="0"/>
        <v>59600</v>
      </c>
      <c r="H12" s="102">
        <v>0.3</v>
      </c>
      <c r="I12" s="101">
        <f t="shared" ref="I12:I28" si="1">ROUNDDOWN(MIN(G12*H12,2000),-2)</f>
        <v>2000</v>
      </c>
      <c r="J12" s="90" t="s">
        <v>125</v>
      </c>
      <c r="K12" s="103" t="s">
        <v>126</v>
      </c>
      <c r="L12" s="103">
        <v>9710</v>
      </c>
      <c r="M12" s="116" t="s">
        <v>158</v>
      </c>
      <c r="N12" s="101">
        <f>92358*K2</f>
        <v>596641.9158</v>
      </c>
      <c r="O12" s="101">
        <v>59600</v>
      </c>
      <c r="P12" s="101">
        <v>59600</v>
      </c>
      <c r="Q12" s="101">
        <v>59600</v>
      </c>
      <c r="S12" s="17"/>
      <c r="T12" s="17"/>
      <c r="V12" s="17"/>
    </row>
    <row r="13" ht="19.95" customHeight="true" spans="1:22">
      <c r="A13" s="84">
        <v>10</v>
      </c>
      <c r="B13" s="85" t="s">
        <v>160</v>
      </c>
      <c r="C13" s="86" t="s">
        <v>43</v>
      </c>
      <c r="D13" s="87" t="s">
        <v>161</v>
      </c>
      <c r="E13" s="85" t="s">
        <v>123</v>
      </c>
      <c r="F13" s="85" t="s">
        <v>124</v>
      </c>
      <c r="G13" s="101">
        <f t="shared" si="0"/>
        <v>503800</v>
      </c>
      <c r="H13" s="102">
        <v>0.3</v>
      </c>
      <c r="I13" s="101">
        <f>ROUNDDOWN(MIN(G13*H13,70000),-2)</f>
        <v>70000</v>
      </c>
      <c r="J13" s="90" t="s">
        <v>125</v>
      </c>
      <c r="K13" s="103" t="s">
        <v>126</v>
      </c>
      <c r="L13" s="103">
        <v>9710</v>
      </c>
      <c r="M13" s="116" t="s">
        <v>162</v>
      </c>
      <c r="N13" s="101">
        <f>3861630.24*K2</f>
        <v>24946517.513424</v>
      </c>
      <c r="O13" s="101">
        <v>503800</v>
      </c>
      <c r="P13" s="101">
        <v>513800</v>
      </c>
      <c r="Q13" s="101">
        <v>503800</v>
      </c>
      <c r="S13" s="17"/>
      <c r="T13" s="17"/>
      <c r="V13" s="17"/>
    </row>
    <row r="14" ht="19.95" customHeight="true" spans="1:22">
      <c r="A14" s="84">
        <v>11</v>
      </c>
      <c r="B14" s="85" t="s">
        <v>163</v>
      </c>
      <c r="C14" s="86" t="s">
        <v>38</v>
      </c>
      <c r="D14" s="87" t="s">
        <v>164</v>
      </c>
      <c r="E14" s="85" t="s">
        <v>123</v>
      </c>
      <c r="F14" s="85" t="s">
        <v>165</v>
      </c>
      <c r="G14" s="101">
        <f t="shared" si="0"/>
        <v>223628.894094</v>
      </c>
      <c r="H14" s="102">
        <v>0.5</v>
      </c>
      <c r="I14" s="101">
        <f>ROUNDDOWN(MIN(G14*H14,70000),-2)</f>
        <v>70000</v>
      </c>
      <c r="J14" s="90" t="s">
        <v>125</v>
      </c>
      <c r="K14" s="103" t="s">
        <v>136</v>
      </c>
      <c r="L14" s="103" t="s">
        <v>166</v>
      </c>
      <c r="M14" s="117" t="s">
        <v>167</v>
      </c>
      <c r="N14" s="101">
        <f>4218706*K2</f>
        <v>27253262.6306</v>
      </c>
      <c r="O14" s="101"/>
      <c r="P14" s="101"/>
      <c r="Q14" s="101">
        <v>223628.894094</v>
      </c>
      <c r="S14" s="17"/>
      <c r="T14" s="17"/>
      <c r="V14" s="17"/>
    </row>
    <row r="15" ht="19.95" customHeight="true" spans="1:22">
      <c r="A15" s="84">
        <v>12</v>
      </c>
      <c r="B15" s="85" t="s">
        <v>169</v>
      </c>
      <c r="C15" s="86" t="s">
        <v>51</v>
      </c>
      <c r="D15" s="87" t="s">
        <v>170</v>
      </c>
      <c r="E15" s="85" t="s">
        <v>123</v>
      </c>
      <c r="F15" s="85" t="s">
        <v>124</v>
      </c>
      <c r="G15" s="101">
        <f t="shared" si="0"/>
        <v>246613.15</v>
      </c>
      <c r="H15" s="102">
        <v>0.3</v>
      </c>
      <c r="I15" s="101">
        <f>ROUNDDOWN(MIN(G15*H15,70000),-2)</f>
        <v>70000</v>
      </c>
      <c r="J15" s="90" t="s">
        <v>125</v>
      </c>
      <c r="K15" s="103" t="s">
        <v>126</v>
      </c>
      <c r="L15" s="103">
        <v>9710</v>
      </c>
      <c r="M15" s="116" t="s">
        <v>171</v>
      </c>
      <c r="N15" s="101">
        <f>3639970.96*K2</f>
        <v>23514576.398696</v>
      </c>
      <c r="O15" s="101">
        <v>299600</v>
      </c>
      <c r="P15" s="101">
        <v>276614</v>
      </c>
      <c r="Q15" s="101">
        <v>246613.15</v>
      </c>
      <c r="S15" s="17"/>
      <c r="T15" s="17"/>
      <c r="V15" s="17"/>
    </row>
    <row r="16" ht="19.95" customHeight="true" spans="1:22">
      <c r="A16" s="84">
        <v>13</v>
      </c>
      <c r="B16" s="85" t="s">
        <v>147</v>
      </c>
      <c r="C16" s="86" t="s">
        <v>48</v>
      </c>
      <c r="D16" s="88" t="s">
        <v>313</v>
      </c>
      <c r="E16" s="85" t="s">
        <v>123</v>
      </c>
      <c r="F16" s="85" t="s">
        <v>174</v>
      </c>
      <c r="G16" s="101">
        <f t="shared" si="0"/>
        <v>0</v>
      </c>
      <c r="H16" s="102">
        <v>0.5</v>
      </c>
      <c r="I16" s="101">
        <f>ROUNDDOWN(MIN(G16*H16,70000),-2)</f>
        <v>0</v>
      </c>
      <c r="J16" s="111" t="s">
        <v>312</v>
      </c>
      <c r="K16" s="103" t="s">
        <v>126</v>
      </c>
      <c r="L16" s="103">
        <v>9710</v>
      </c>
      <c r="M16" s="116" t="s">
        <v>175</v>
      </c>
      <c r="N16" s="101">
        <f>1239304.87*K2+2063482.6*N2</f>
        <v>23866373.350807</v>
      </c>
      <c r="O16" s="101"/>
      <c r="P16" s="101"/>
      <c r="Q16" s="101"/>
      <c r="R16" s="8" t="s">
        <v>314</v>
      </c>
      <c r="S16" s="17"/>
      <c r="T16" s="17"/>
      <c r="V16" s="17"/>
    </row>
    <row r="17" ht="19.95" customHeight="true" spans="1:22">
      <c r="A17" s="84">
        <v>14</v>
      </c>
      <c r="B17" s="85" t="s">
        <v>153</v>
      </c>
      <c r="C17" s="86" t="s">
        <v>47</v>
      </c>
      <c r="D17" s="87" t="s">
        <v>177</v>
      </c>
      <c r="E17" s="85" t="s">
        <v>123</v>
      </c>
      <c r="F17" s="103" t="s">
        <v>130</v>
      </c>
      <c r="G17" s="101">
        <f t="shared" si="0"/>
        <v>70600</v>
      </c>
      <c r="H17" s="102">
        <v>0.3</v>
      </c>
      <c r="I17" s="101">
        <f>ROUNDDOWN(MIN(G17*H17,70000),-2)</f>
        <v>21100</v>
      </c>
      <c r="J17" s="90" t="s">
        <v>125</v>
      </c>
      <c r="K17" s="103" t="s">
        <v>126</v>
      </c>
      <c r="L17" s="103">
        <v>9710</v>
      </c>
      <c r="M17" s="116" t="s">
        <v>178</v>
      </c>
      <c r="N17" s="101">
        <f>18328510.92*K2</f>
        <v>118404013.394292</v>
      </c>
      <c r="O17" s="101">
        <v>70600</v>
      </c>
      <c r="P17" s="101">
        <f>O17</f>
        <v>70600</v>
      </c>
      <c r="Q17" s="101">
        <f>O17</f>
        <v>70600</v>
      </c>
      <c r="R17" s="8" t="s">
        <v>315</v>
      </c>
      <c r="S17" s="17"/>
      <c r="T17" s="17"/>
      <c r="V17" s="17"/>
    </row>
    <row r="18" ht="19.95" customHeight="true" spans="1:22">
      <c r="A18" s="84">
        <v>15</v>
      </c>
      <c r="B18" s="85" t="s">
        <v>121</v>
      </c>
      <c r="C18" s="86" t="s">
        <v>44</v>
      </c>
      <c r="D18" s="87" t="s">
        <v>180</v>
      </c>
      <c r="E18" s="85" t="s">
        <v>123</v>
      </c>
      <c r="F18" s="85" t="s">
        <v>124</v>
      </c>
      <c r="G18" s="101">
        <f t="shared" si="0"/>
        <v>60414.43</v>
      </c>
      <c r="H18" s="102">
        <v>0.3</v>
      </c>
      <c r="I18" s="101">
        <f>ROUNDDOWN(MIN(G18*H18,30000),-2)</f>
        <v>18100</v>
      </c>
      <c r="J18" s="90" t="s">
        <v>125</v>
      </c>
      <c r="K18" s="103" t="s">
        <v>126</v>
      </c>
      <c r="L18" s="103">
        <v>9710</v>
      </c>
      <c r="M18" s="116" t="s">
        <v>181</v>
      </c>
      <c r="N18" s="101">
        <f>1537286.93*K2</f>
        <v>9931027.296493</v>
      </c>
      <c r="O18" s="101">
        <v>70000</v>
      </c>
      <c r="P18" s="101">
        <v>70000</v>
      </c>
      <c r="Q18" s="101">
        <v>60414.43</v>
      </c>
      <c r="R18" s="8" t="s">
        <v>316</v>
      </c>
      <c r="S18" s="17"/>
      <c r="T18" s="17"/>
      <c r="V18" s="17"/>
    </row>
    <row r="19" ht="19.95" customHeight="true" spans="1:22">
      <c r="A19" s="84">
        <v>16</v>
      </c>
      <c r="B19" s="85" t="s">
        <v>121</v>
      </c>
      <c r="C19" s="86" t="s">
        <v>37</v>
      </c>
      <c r="D19" s="87" t="s">
        <v>317</v>
      </c>
      <c r="E19" s="85" t="s">
        <v>123</v>
      </c>
      <c r="F19" s="85" t="s">
        <v>124</v>
      </c>
      <c r="G19" s="101">
        <f t="shared" si="0"/>
        <v>29800</v>
      </c>
      <c r="H19" s="102">
        <v>0.3</v>
      </c>
      <c r="I19" s="101">
        <f t="shared" si="1"/>
        <v>2000</v>
      </c>
      <c r="J19" s="90" t="s">
        <v>125</v>
      </c>
      <c r="K19" s="103" t="s">
        <v>126</v>
      </c>
      <c r="L19" s="103">
        <v>9710</v>
      </c>
      <c r="M19" s="116" t="s">
        <v>184</v>
      </c>
      <c r="N19" s="101">
        <f>80593.15*K2</f>
        <v>520639.808315</v>
      </c>
      <c r="O19" s="101">
        <v>29800</v>
      </c>
      <c r="P19" s="101">
        <v>59800</v>
      </c>
      <c r="Q19" s="101">
        <v>29800</v>
      </c>
      <c r="S19" s="17"/>
      <c r="T19" s="17"/>
      <c r="V19" s="17"/>
    </row>
    <row r="20" ht="19.95" customHeight="true" spans="1:22">
      <c r="A20" s="84">
        <v>17</v>
      </c>
      <c r="B20" s="85" t="s">
        <v>186</v>
      </c>
      <c r="C20" s="86" t="s">
        <v>42</v>
      </c>
      <c r="D20" s="87" t="s">
        <v>187</v>
      </c>
      <c r="E20" s="85" t="s">
        <v>123</v>
      </c>
      <c r="F20" s="85" t="s">
        <v>124</v>
      </c>
      <c r="G20" s="101">
        <f t="shared" si="0"/>
        <v>50000</v>
      </c>
      <c r="H20" s="102">
        <v>0.3</v>
      </c>
      <c r="I20" s="101">
        <f t="shared" si="1"/>
        <v>2000</v>
      </c>
      <c r="J20" s="90" t="s">
        <v>125</v>
      </c>
      <c r="K20" s="103" t="s">
        <v>126</v>
      </c>
      <c r="L20" s="103">
        <v>9710</v>
      </c>
      <c r="M20" s="116" t="s">
        <v>188</v>
      </c>
      <c r="N20" s="101">
        <f>120001.5*K2</f>
        <v>775221.69015</v>
      </c>
      <c r="O20" s="101">
        <v>50000</v>
      </c>
      <c r="P20" s="101">
        <v>50000</v>
      </c>
      <c r="Q20" s="101">
        <v>50000</v>
      </c>
      <c r="S20" s="17"/>
      <c r="T20" s="17"/>
      <c r="V20" s="17"/>
    </row>
    <row r="21" ht="19.95" customHeight="true" spans="1:22">
      <c r="A21" s="84">
        <v>18</v>
      </c>
      <c r="B21" s="85" t="s">
        <v>139</v>
      </c>
      <c r="C21" s="86" t="s">
        <v>41</v>
      </c>
      <c r="D21" s="87" t="s">
        <v>189</v>
      </c>
      <c r="E21" s="85" t="s">
        <v>123</v>
      </c>
      <c r="F21" s="85" t="s">
        <v>124</v>
      </c>
      <c r="G21" s="101">
        <f t="shared" si="0"/>
        <v>324263.75</v>
      </c>
      <c r="H21" s="102">
        <v>0.3</v>
      </c>
      <c r="I21" s="101">
        <f>ROUNDDOWN(MIN(G21*H21,70000),-2)</f>
        <v>70000</v>
      </c>
      <c r="J21" s="90" t="s">
        <v>125</v>
      </c>
      <c r="K21" s="103" t="s">
        <v>126</v>
      </c>
      <c r="L21" s="103">
        <v>9710</v>
      </c>
      <c r="M21" s="116" t="s">
        <v>190</v>
      </c>
      <c r="N21" s="101">
        <f>3972150.07*K2</f>
        <v>25660486.667207</v>
      </c>
      <c r="O21" s="101">
        <v>350000</v>
      </c>
      <c r="P21" s="101">
        <v>324263.75</v>
      </c>
      <c r="Q21" s="101">
        <v>335976.89</v>
      </c>
      <c r="S21" s="17"/>
      <c r="T21" s="17"/>
      <c r="V21" s="17"/>
    </row>
    <row r="22" ht="19.95" customHeight="true" spans="1:22">
      <c r="A22" s="84">
        <v>19</v>
      </c>
      <c r="B22" s="85" t="s">
        <v>169</v>
      </c>
      <c r="C22" s="86" t="s">
        <v>51</v>
      </c>
      <c r="D22" s="87" t="s">
        <v>191</v>
      </c>
      <c r="E22" s="85" t="s">
        <v>123</v>
      </c>
      <c r="F22" s="85" t="s">
        <v>124</v>
      </c>
      <c r="G22" s="101">
        <f t="shared" si="0"/>
        <v>445600</v>
      </c>
      <c r="H22" s="102">
        <v>0.3</v>
      </c>
      <c r="I22" s="101">
        <f>ROUNDDOWN(MIN(G22*H22,30000),-2)</f>
        <v>30000</v>
      </c>
      <c r="J22" s="90" t="s">
        <v>125</v>
      </c>
      <c r="K22" s="103" t="s">
        <v>126</v>
      </c>
      <c r="L22" s="103">
        <v>9710</v>
      </c>
      <c r="M22" s="116" t="s">
        <v>192</v>
      </c>
      <c r="N22" s="101">
        <f>488267.14*K2</f>
        <v>3154254.551114</v>
      </c>
      <c r="O22" s="101">
        <v>457240</v>
      </c>
      <c r="P22" s="101">
        <v>445600</v>
      </c>
      <c r="Q22" s="101">
        <v>696230</v>
      </c>
      <c r="S22" s="17"/>
      <c r="T22" s="17"/>
      <c r="V22" s="17"/>
    </row>
    <row r="23" ht="19.95" customHeight="true" spans="1:22">
      <c r="A23" s="84">
        <v>20</v>
      </c>
      <c r="B23" s="85" t="s">
        <v>121</v>
      </c>
      <c r="C23" s="86" t="s">
        <v>37</v>
      </c>
      <c r="D23" s="88" t="s">
        <v>318</v>
      </c>
      <c r="E23" s="85" t="s">
        <v>123</v>
      </c>
      <c r="F23" s="85" t="s">
        <v>194</v>
      </c>
      <c r="G23" s="101">
        <f t="shared" si="0"/>
        <v>0</v>
      </c>
      <c r="H23" s="102">
        <v>0.3</v>
      </c>
      <c r="I23" s="101">
        <f t="shared" si="1"/>
        <v>0</v>
      </c>
      <c r="J23" s="90" t="s">
        <v>125</v>
      </c>
      <c r="K23" s="103" t="s">
        <v>126</v>
      </c>
      <c r="L23" s="103">
        <v>1210</v>
      </c>
      <c r="M23" s="116"/>
      <c r="N23" s="101"/>
      <c r="O23" s="101"/>
      <c r="P23" s="101"/>
      <c r="Q23" s="101"/>
      <c r="R23" s="8" t="s">
        <v>195</v>
      </c>
      <c r="S23" s="17"/>
      <c r="T23" s="17"/>
      <c r="V23" s="17"/>
    </row>
    <row r="24" ht="19.95" customHeight="true" spans="1:22">
      <c r="A24" s="84">
        <v>21</v>
      </c>
      <c r="B24" s="85" t="s">
        <v>153</v>
      </c>
      <c r="C24" s="86" t="s">
        <v>47</v>
      </c>
      <c r="D24" s="87" t="s">
        <v>196</v>
      </c>
      <c r="E24" s="85" t="s">
        <v>123</v>
      </c>
      <c r="F24" s="85" t="s">
        <v>124</v>
      </c>
      <c r="G24" s="101">
        <f t="shared" si="0"/>
        <v>129600</v>
      </c>
      <c r="H24" s="102">
        <v>0.3</v>
      </c>
      <c r="I24" s="101">
        <f>ROUNDDOWN(MIN(G24*H24,30000),-2)</f>
        <v>30000</v>
      </c>
      <c r="J24" s="90" t="s">
        <v>125</v>
      </c>
      <c r="K24" s="103" t="s">
        <v>126</v>
      </c>
      <c r="L24" s="103">
        <v>9710</v>
      </c>
      <c r="M24" s="116" t="s">
        <v>197</v>
      </c>
      <c r="N24" s="101">
        <f>499946.86*K2</f>
        <v>3229706.710286</v>
      </c>
      <c r="O24" s="101">
        <v>129600</v>
      </c>
      <c r="P24" s="101">
        <v>129600</v>
      </c>
      <c r="Q24" s="101">
        <v>134638.02</v>
      </c>
      <c r="S24" s="17"/>
      <c r="T24" s="17"/>
      <c r="V24" s="17"/>
    </row>
    <row r="25" ht="19.95" customHeight="true" spans="1:22">
      <c r="A25" s="84">
        <v>22</v>
      </c>
      <c r="B25" s="85" t="s">
        <v>121</v>
      </c>
      <c r="C25" s="86" t="s">
        <v>44</v>
      </c>
      <c r="D25" s="87" t="s">
        <v>198</v>
      </c>
      <c r="E25" s="85" t="s">
        <v>123</v>
      </c>
      <c r="F25" s="85" t="s">
        <v>124</v>
      </c>
      <c r="G25" s="101">
        <f t="shared" si="0"/>
        <v>149768.18</v>
      </c>
      <c r="H25" s="102">
        <v>0.3</v>
      </c>
      <c r="I25" s="101">
        <f>ROUNDDOWN(MIN(G25*H25,30000),-2)</f>
        <v>30000</v>
      </c>
      <c r="J25" s="90" t="s">
        <v>125</v>
      </c>
      <c r="K25" s="103" t="s">
        <v>126</v>
      </c>
      <c r="L25" s="103">
        <v>9710</v>
      </c>
      <c r="M25" s="116" t="s">
        <v>199</v>
      </c>
      <c r="N25" s="101">
        <f>494321.71*K2</f>
        <v>3193367.678771</v>
      </c>
      <c r="O25" s="101">
        <v>175940</v>
      </c>
      <c r="P25" s="101">
        <v>149768.18</v>
      </c>
      <c r="Q25" s="101">
        <v>153594.79</v>
      </c>
      <c r="S25" s="17"/>
      <c r="T25" s="17"/>
      <c r="V25" s="17"/>
    </row>
    <row r="26" ht="19.95" customHeight="true" spans="1:22">
      <c r="A26" s="84">
        <v>23</v>
      </c>
      <c r="B26" s="85" t="s">
        <v>200</v>
      </c>
      <c r="C26" s="86" t="s">
        <v>50</v>
      </c>
      <c r="D26" s="87" t="s">
        <v>201</v>
      </c>
      <c r="E26" s="85" t="s">
        <v>123</v>
      </c>
      <c r="F26" s="85" t="s">
        <v>124</v>
      </c>
      <c r="G26" s="101">
        <f t="shared" si="0"/>
        <v>250350</v>
      </c>
      <c r="H26" s="102">
        <v>0.5</v>
      </c>
      <c r="I26" s="101">
        <f>ROUNDDOWN(MIN(G26*H26,30000),-2)</f>
        <v>30000</v>
      </c>
      <c r="J26" s="90" t="s">
        <v>135</v>
      </c>
      <c r="K26" s="103" t="s">
        <v>126</v>
      </c>
      <c r="L26" s="103">
        <v>9710</v>
      </c>
      <c r="M26" s="116" t="s">
        <v>202</v>
      </c>
      <c r="N26" s="101">
        <f>820232.96*K2</f>
        <v>5298786.944896</v>
      </c>
      <c r="O26" s="101">
        <v>265350</v>
      </c>
      <c r="P26" s="101">
        <v>250350</v>
      </c>
      <c r="Q26" s="101">
        <v>269215</v>
      </c>
      <c r="S26" s="17"/>
      <c r="T26" s="17"/>
      <c r="V26" s="17"/>
    </row>
    <row r="27" ht="19.95" customHeight="true" spans="1:22">
      <c r="A27" s="84">
        <v>24</v>
      </c>
      <c r="B27" s="85" t="s">
        <v>121</v>
      </c>
      <c r="C27" s="86" t="s">
        <v>37</v>
      </c>
      <c r="D27" s="87" t="s">
        <v>204</v>
      </c>
      <c r="E27" s="85" t="s">
        <v>123</v>
      </c>
      <c r="F27" s="85" t="s">
        <v>124</v>
      </c>
      <c r="G27" s="101">
        <f t="shared" si="0"/>
        <v>563843.41</v>
      </c>
      <c r="H27" s="102">
        <v>0.3</v>
      </c>
      <c r="I27" s="101">
        <f t="shared" si="1"/>
        <v>2000</v>
      </c>
      <c r="J27" s="90" t="s">
        <v>125</v>
      </c>
      <c r="K27" s="103" t="s">
        <v>126</v>
      </c>
      <c r="L27" s="103">
        <v>9710</v>
      </c>
      <c r="M27" s="116" t="s">
        <v>205</v>
      </c>
      <c r="N27" s="101">
        <f>193729.59*K2</f>
        <v>1251512.524359</v>
      </c>
      <c r="O27" s="101">
        <v>611282</v>
      </c>
      <c r="P27" s="101">
        <v>611142</v>
      </c>
      <c r="Q27" s="101">
        <v>563843.41</v>
      </c>
      <c r="S27" s="17"/>
      <c r="T27" s="17"/>
      <c r="V27" s="17"/>
    </row>
    <row r="28" ht="19.95" customHeight="true" spans="1:22">
      <c r="A28" s="84">
        <v>25</v>
      </c>
      <c r="B28" s="85" t="s">
        <v>121</v>
      </c>
      <c r="C28" s="86" t="s">
        <v>37</v>
      </c>
      <c r="D28" s="87" t="s">
        <v>206</v>
      </c>
      <c r="E28" s="85" t="s">
        <v>123</v>
      </c>
      <c r="F28" s="85" t="s">
        <v>124</v>
      </c>
      <c r="G28" s="101">
        <f t="shared" si="0"/>
        <v>49800</v>
      </c>
      <c r="H28" s="102">
        <v>0.3</v>
      </c>
      <c r="I28" s="101">
        <f t="shared" si="1"/>
        <v>2000</v>
      </c>
      <c r="J28" s="90" t="s">
        <v>125</v>
      </c>
      <c r="K28" s="103" t="s">
        <v>126</v>
      </c>
      <c r="L28" s="103">
        <v>9710</v>
      </c>
      <c r="M28" s="116" t="s">
        <v>207</v>
      </c>
      <c r="N28" s="101">
        <f>66884.8*K2</f>
        <v>432082.49648</v>
      </c>
      <c r="O28" s="101">
        <v>49800</v>
      </c>
      <c r="P28" s="101">
        <v>49800</v>
      </c>
      <c r="Q28" s="101">
        <v>51638.8</v>
      </c>
      <c r="S28" s="17"/>
      <c r="T28" s="17"/>
      <c r="V28" s="17"/>
    </row>
    <row r="29" ht="19.95" customHeight="true" spans="1:22">
      <c r="A29" s="84">
        <v>26</v>
      </c>
      <c r="B29" s="85" t="s">
        <v>121</v>
      </c>
      <c r="C29" s="86" t="s">
        <v>37</v>
      </c>
      <c r="D29" s="87" t="s">
        <v>208</v>
      </c>
      <c r="E29" s="85" t="s">
        <v>123</v>
      </c>
      <c r="F29" s="103" t="s">
        <v>130</v>
      </c>
      <c r="G29" s="101">
        <f t="shared" si="0"/>
        <v>88300</v>
      </c>
      <c r="H29" s="102">
        <v>0.5</v>
      </c>
      <c r="I29" s="101">
        <f>ROUNDDOWN(MIN(G29*H29,70000),-2)</f>
        <v>44100</v>
      </c>
      <c r="J29" s="90" t="s">
        <v>125</v>
      </c>
      <c r="K29" s="85" t="s">
        <v>136</v>
      </c>
      <c r="L29" s="85">
        <v>9710</v>
      </c>
      <c r="M29" s="116" t="s">
        <v>209</v>
      </c>
      <c r="N29" s="101">
        <f>3625676.36*K2</f>
        <v>23422231.853236</v>
      </c>
      <c r="O29" s="101">
        <v>88300</v>
      </c>
      <c r="P29" s="101">
        <v>88300</v>
      </c>
      <c r="Q29" s="101">
        <v>88300</v>
      </c>
      <c r="R29" s="8" t="s">
        <v>319</v>
      </c>
      <c r="S29" s="17"/>
      <c r="T29" s="17"/>
      <c r="V29" s="17"/>
    </row>
    <row r="30" ht="19.95" customHeight="true" spans="1:22">
      <c r="A30" s="84">
        <v>27</v>
      </c>
      <c r="B30" s="85" t="s">
        <v>200</v>
      </c>
      <c r="C30" s="86" t="s">
        <v>50</v>
      </c>
      <c r="D30" s="87" t="s">
        <v>210</v>
      </c>
      <c r="E30" s="85" t="s">
        <v>123</v>
      </c>
      <c r="F30" s="85" t="s">
        <v>124</v>
      </c>
      <c r="G30" s="101">
        <f t="shared" si="0"/>
        <v>229914.78</v>
      </c>
      <c r="H30" s="102">
        <v>0.3</v>
      </c>
      <c r="I30" s="101">
        <f t="shared" ref="I30" si="2">ROUNDDOWN(MIN(G30*H30,2000),-2)</f>
        <v>2000</v>
      </c>
      <c r="J30" s="90" t="s">
        <v>125</v>
      </c>
      <c r="K30" s="103" t="s">
        <v>126</v>
      </c>
      <c r="L30" s="103">
        <v>9710</v>
      </c>
      <c r="M30" s="116" t="s">
        <v>211</v>
      </c>
      <c r="N30" s="101">
        <f>432109.81*K2</f>
        <v>2791472.583581</v>
      </c>
      <c r="O30" s="101">
        <v>280000</v>
      </c>
      <c r="P30" s="101">
        <v>260000</v>
      </c>
      <c r="Q30" s="101">
        <v>229914.78</v>
      </c>
      <c r="S30" s="17"/>
      <c r="T30" s="17"/>
      <c r="V30" s="17"/>
    </row>
    <row r="31" ht="19.95" customHeight="true" spans="1:22">
      <c r="A31" s="84">
        <v>28</v>
      </c>
      <c r="B31" s="85" t="s">
        <v>200</v>
      </c>
      <c r="C31" s="86" t="s">
        <v>50</v>
      </c>
      <c r="D31" s="87" t="s">
        <v>213</v>
      </c>
      <c r="E31" s="85" t="s">
        <v>123</v>
      </c>
      <c r="F31" s="85" t="s">
        <v>124</v>
      </c>
      <c r="G31" s="101">
        <f t="shared" si="0"/>
        <v>246502.72</v>
      </c>
      <c r="H31" s="102">
        <v>0.3</v>
      </c>
      <c r="I31" s="101">
        <f>ROUNDDOWN(MIN(G31*H31,30000),-2)</f>
        <v>30000</v>
      </c>
      <c r="J31" s="90" t="s">
        <v>125</v>
      </c>
      <c r="K31" s="103" t="s">
        <v>126</v>
      </c>
      <c r="L31" s="103">
        <v>9710</v>
      </c>
      <c r="M31" s="116" t="s">
        <v>214</v>
      </c>
      <c r="N31" s="101">
        <f>1677174.86*K2</f>
        <v>10834717.313086</v>
      </c>
      <c r="O31" s="101">
        <v>250000</v>
      </c>
      <c r="P31" s="101">
        <v>250000</v>
      </c>
      <c r="Q31" s="101">
        <v>246502.72</v>
      </c>
      <c r="S31" s="17"/>
      <c r="T31" s="17"/>
      <c r="V31" s="17"/>
    </row>
    <row r="32" ht="19.95" customHeight="true" spans="1:22">
      <c r="A32" s="84">
        <v>29</v>
      </c>
      <c r="B32" s="85" t="s">
        <v>169</v>
      </c>
      <c r="C32" s="86" t="s">
        <v>51</v>
      </c>
      <c r="D32" s="88" t="s">
        <v>320</v>
      </c>
      <c r="E32" s="85" t="s">
        <v>123</v>
      </c>
      <c r="F32" s="85" t="s">
        <v>124</v>
      </c>
      <c r="G32" s="101">
        <f t="shared" si="0"/>
        <v>0</v>
      </c>
      <c r="H32" s="102">
        <v>0.3</v>
      </c>
      <c r="I32" s="101">
        <f>ROUNDDOWN(MIN(G32*H32,30000),-2)</f>
        <v>0</v>
      </c>
      <c r="J32" s="90" t="s">
        <v>125</v>
      </c>
      <c r="K32" s="103" t="s">
        <v>126</v>
      </c>
      <c r="L32" s="103"/>
      <c r="M32" s="116"/>
      <c r="N32" s="101"/>
      <c r="O32" s="101"/>
      <c r="P32" s="101"/>
      <c r="Q32" s="101"/>
      <c r="R32" s="8" t="s">
        <v>321</v>
      </c>
      <c r="S32" s="17"/>
      <c r="T32" s="17"/>
      <c r="V32" s="17"/>
    </row>
    <row r="33" ht="19.95" customHeight="true" spans="1:22">
      <c r="A33" s="84">
        <v>30</v>
      </c>
      <c r="B33" s="85" t="s">
        <v>121</v>
      </c>
      <c r="C33" s="86" t="s">
        <v>37</v>
      </c>
      <c r="D33" s="87" t="s">
        <v>218</v>
      </c>
      <c r="E33" s="85" t="s">
        <v>123</v>
      </c>
      <c r="F33" s="85" t="s">
        <v>219</v>
      </c>
      <c r="G33" s="101">
        <f t="shared" si="0"/>
        <v>1083063.61</v>
      </c>
      <c r="H33" s="102">
        <v>0.5</v>
      </c>
      <c r="I33" s="101">
        <f>ROUNDDOWN(MIN(G33*H33,70000),-2)</f>
        <v>70000</v>
      </c>
      <c r="J33" s="90" t="s">
        <v>135</v>
      </c>
      <c r="K33" s="103" t="s">
        <v>136</v>
      </c>
      <c r="L33" s="103">
        <v>9710</v>
      </c>
      <c r="M33" s="116" t="s">
        <v>220</v>
      </c>
      <c r="N33" s="101">
        <f>4808382.5*K2</f>
        <v>31062631.78825</v>
      </c>
      <c r="O33" s="101"/>
      <c r="P33" s="101">
        <v>1083063.61</v>
      </c>
      <c r="Q33" s="101">
        <v>1083388.61</v>
      </c>
      <c r="S33" s="17"/>
      <c r="T33" s="17"/>
      <c r="V33" s="17"/>
    </row>
    <row r="34" ht="19.95" customHeight="true" spans="1:22">
      <c r="A34" s="84">
        <v>31</v>
      </c>
      <c r="B34" s="85" t="s">
        <v>139</v>
      </c>
      <c r="C34" s="86" t="s">
        <v>41</v>
      </c>
      <c r="D34" s="88" t="s">
        <v>322</v>
      </c>
      <c r="E34" s="85" t="s">
        <v>123</v>
      </c>
      <c r="F34" s="85" t="s">
        <v>124</v>
      </c>
      <c r="G34" s="101">
        <f t="shared" si="0"/>
        <v>0</v>
      </c>
      <c r="H34" s="102">
        <v>0.3</v>
      </c>
      <c r="I34" s="101">
        <f>ROUNDDOWN(MIN(G34*H34,2000),-2)</f>
        <v>0</v>
      </c>
      <c r="J34" s="90" t="s">
        <v>125</v>
      </c>
      <c r="K34" s="103" t="s">
        <v>126</v>
      </c>
      <c r="L34" s="103">
        <v>9710</v>
      </c>
      <c r="M34" s="116" t="s">
        <v>222</v>
      </c>
      <c r="N34" s="101">
        <f>180*7.6862</f>
        <v>1383.516</v>
      </c>
      <c r="O34" s="101"/>
      <c r="P34" s="101"/>
      <c r="Q34" s="101"/>
      <c r="R34" s="8" t="s">
        <v>323</v>
      </c>
      <c r="S34" s="17"/>
      <c r="T34" s="17"/>
      <c r="V34" s="17"/>
    </row>
    <row r="35" ht="19.95" customHeight="true" spans="1:22">
      <c r="A35" s="84">
        <v>32</v>
      </c>
      <c r="B35" s="85" t="s">
        <v>147</v>
      </c>
      <c r="C35" s="86" t="s">
        <v>48</v>
      </c>
      <c r="D35" s="87" t="s">
        <v>224</v>
      </c>
      <c r="E35" s="85" t="s">
        <v>123</v>
      </c>
      <c r="F35" s="85" t="s">
        <v>174</v>
      </c>
      <c r="G35" s="101">
        <f t="shared" si="0"/>
        <v>2000</v>
      </c>
      <c r="H35" s="102">
        <v>0.5</v>
      </c>
      <c r="I35" s="101">
        <f>ROUNDDOWN(MIN(G35*H35,70000),-2)</f>
        <v>1000</v>
      </c>
      <c r="J35" s="90" t="s">
        <v>135</v>
      </c>
      <c r="K35" s="103" t="s">
        <v>136</v>
      </c>
      <c r="L35" s="103">
        <v>9710</v>
      </c>
      <c r="M35" s="116" t="s">
        <v>225</v>
      </c>
      <c r="N35" s="101">
        <f>3161254.55*K2</f>
        <v>20422020.518455</v>
      </c>
      <c r="O35" s="101">
        <v>2000</v>
      </c>
      <c r="P35" s="101">
        <v>2000</v>
      </c>
      <c r="Q35" s="101">
        <v>2000</v>
      </c>
      <c r="R35" s="8" t="s">
        <v>324</v>
      </c>
      <c r="S35" s="17"/>
      <c r="T35" s="17"/>
      <c r="V35" s="17"/>
    </row>
    <row r="36" ht="19.95" customHeight="true" spans="1:22">
      <c r="A36" s="84">
        <v>33</v>
      </c>
      <c r="B36" s="85" t="s">
        <v>139</v>
      </c>
      <c r="C36" s="86" t="s">
        <v>41</v>
      </c>
      <c r="D36" s="87" t="s">
        <v>227</v>
      </c>
      <c r="E36" s="85" t="s">
        <v>123</v>
      </c>
      <c r="F36" s="85" t="s">
        <v>228</v>
      </c>
      <c r="G36" s="101">
        <f t="shared" si="0"/>
        <v>125800</v>
      </c>
      <c r="H36" s="102">
        <v>0.5</v>
      </c>
      <c r="I36" s="101">
        <f>ROUNDDOWN(MIN(G36*H36,70000),-2)</f>
        <v>62900</v>
      </c>
      <c r="J36" s="90" t="s">
        <v>125</v>
      </c>
      <c r="K36" s="103" t="s">
        <v>136</v>
      </c>
      <c r="L36" s="103">
        <v>9710</v>
      </c>
      <c r="M36" s="116" t="s">
        <v>229</v>
      </c>
      <c r="N36" s="101">
        <f>7490168.58*K2</f>
        <v>48387238.043658</v>
      </c>
      <c r="O36" s="101">
        <v>125800</v>
      </c>
      <c r="P36" s="101">
        <v>125800</v>
      </c>
      <c r="Q36" s="101">
        <v>125800</v>
      </c>
      <c r="R36" s="8" t="s">
        <v>325</v>
      </c>
      <c r="S36" s="17"/>
      <c r="T36" s="17"/>
      <c r="V36" s="17"/>
    </row>
    <row r="37" ht="19.95" customHeight="true" spans="1:22">
      <c r="A37" s="84">
        <v>34</v>
      </c>
      <c r="B37" s="85" t="s">
        <v>163</v>
      </c>
      <c r="C37" s="86" t="s">
        <v>38</v>
      </c>
      <c r="D37" s="87" t="s">
        <v>231</v>
      </c>
      <c r="E37" s="85" t="s">
        <v>123</v>
      </c>
      <c r="F37" s="85" t="s">
        <v>124</v>
      </c>
      <c r="G37" s="101">
        <f t="shared" si="0"/>
        <v>116010</v>
      </c>
      <c r="H37" s="102">
        <v>0.3</v>
      </c>
      <c r="I37" s="101">
        <f t="shared" ref="I37:I53" si="3">ROUNDDOWN(MIN(G37*H37,2000),-2)</f>
        <v>2000</v>
      </c>
      <c r="J37" s="90" t="s">
        <v>125</v>
      </c>
      <c r="K37" s="103" t="s">
        <v>126</v>
      </c>
      <c r="L37" s="103">
        <v>9710</v>
      </c>
      <c r="M37" s="116" t="s">
        <v>232</v>
      </c>
      <c r="N37" s="101">
        <f>6244.79*K2</f>
        <v>40341.967879</v>
      </c>
      <c r="O37" s="101">
        <v>116010</v>
      </c>
      <c r="P37" s="101">
        <v>149800</v>
      </c>
      <c r="Q37" s="101">
        <v>128010</v>
      </c>
      <c r="R37" s="121" t="s">
        <v>326</v>
      </c>
      <c r="S37" s="17"/>
      <c r="T37" s="17"/>
      <c r="V37" s="17"/>
    </row>
    <row r="38" ht="19.95" customHeight="true" spans="1:22">
      <c r="A38" s="84">
        <v>35</v>
      </c>
      <c r="B38" s="85" t="s">
        <v>169</v>
      </c>
      <c r="C38" s="86" t="s">
        <v>51</v>
      </c>
      <c r="D38" s="88" t="s">
        <v>327</v>
      </c>
      <c r="E38" s="85" t="s">
        <v>235</v>
      </c>
      <c r="F38" s="85" t="s">
        <v>174</v>
      </c>
      <c r="G38" s="101">
        <v>79906.41</v>
      </c>
      <c r="H38" s="102">
        <v>0.5</v>
      </c>
      <c r="I38" s="101">
        <f>ROUNDDOWN(MIN(G38*H38,70000),-2)</f>
        <v>39900</v>
      </c>
      <c r="J38" s="90" t="s">
        <v>135</v>
      </c>
      <c r="K38" s="103" t="s">
        <v>136</v>
      </c>
      <c r="L38" s="103"/>
      <c r="M38" s="116" t="s">
        <v>236</v>
      </c>
      <c r="N38" s="101">
        <f>10706378.15*K2</f>
        <v>69164273.486815</v>
      </c>
      <c r="O38" s="101">
        <v>0</v>
      </c>
      <c r="P38" s="101">
        <v>0</v>
      </c>
      <c r="Q38" s="101">
        <v>0</v>
      </c>
      <c r="S38" s="17"/>
      <c r="T38" s="17"/>
      <c r="V38" s="17"/>
    </row>
    <row r="39" ht="19.95" customHeight="true" spans="1:22">
      <c r="A39" s="84">
        <v>36</v>
      </c>
      <c r="B39" s="85" t="s">
        <v>147</v>
      </c>
      <c r="C39" s="86" t="s">
        <v>48</v>
      </c>
      <c r="D39" s="87" t="s">
        <v>238</v>
      </c>
      <c r="E39" s="85" t="s">
        <v>123</v>
      </c>
      <c r="F39" s="85" t="s">
        <v>124</v>
      </c>
      <c r="G39" s="101">
        <f t="shared" si="0"/>
        <v>90000</v>
      </c>
      <c r="H39" s="102">
        <v>0.3</v>
      </c>
      <c r="I39" s="101">
        <f t="shared" si="3"/>
        <v>2000</v>
      </c>
      <c r="J39" s="90" t="s">
        <v>125</v>
      </c>
      <c r="K39" s="103" t="s">
        <v>126</v>
      </c>
      <c r="L39" s="103">
        <v>9710</v>
      </c>
      <c r="M39" s="116" t="s">
        <v>239</v>
      </c>
      <c r="N39" s="101">
        <f>98774.16*K2</f>
        <v>638090.951016</v>
      </c>
      <c r="O39" s="101">
        <v>90000</v>
      </c>
      <c r="P39" s="101">
        <v>90000</v>
      </c>
      <c r="Q39" s="101">
        <v>92718.7</v>
      </c>
      <c r="S39" s="17"/>
      <c r="T39" s="17"/>
      <c r="V39" s="17"/>
    </row>
    <row r="40" ht="19.95" customHeight="true" spans="1:22">
      <c r="A40" s="84">
        <v>37</v>
      </c>
      <c r="B40" s="85" t="s">
        <v>169</v>
      </c>
      <c r="C40" s="86" t="s">
        <v>51</v>
      </c>
      <c r="D40" s="87" t="s">
        <v>328</v>
      </c>
      <c r="E40" s="85" t="s">
        <v>123</v>
      </c>
      <c r="F40" s="85" t="s">
        <v>124</v>
      </c>
      <c r="G40" s="101">
        <f t="shared" si="0"/>
        <v>350000</v>
      </c>
      <c r="H40" s="102">
        <v>0.3</v>
      </c>
      <c r="I40" s="101">
        <f t="shared" si="3"/>
        <v>2000</v>
      </c>
      <c r="J40" s="90" t="s">
        <v>125</v>
      </c>
      <c r="K40" s="103" t="s">
        <v>126</v>
      </c>
      <c r="L40" s="103">
        <v>9710</v>
      </c>
      <c r="M40" s="116" t="s">
        <v>242</v>
      </c>
      <c r="N40" s="101">
        <f>145336.36*K2</f>
        <v>938887.419236</v>
      </c>
      <c r="O40" s="101">
        <v>350000</v>
      </c>
      <c r="P40" s="101">
        <v>350000</v>
      </c>
      <c r="Q40" s="101">
        <v>350000</v>
      </c>
      <c r="S40" s="17"/>
      <c r="T40" s="17"/>
      <c r="V40" s="17"/>
    </row>
    <row r="41" ht="19.95" customHeight="true" spans="1:22">
      <c r="A41" s="84">
        <v>38</v>
      </c>
      <c r="B41" s="85" t="s">
        <v>121</v>
      </c>
      <c r="C41" s="86" t="s">
        <v>44</v>
      </c>
      <c r="D41" s="88" t="s">
        <v>329</v>
      </c>
      <c r="E41" s="85" t="s">
        <v>123</v>
      </c>
      <c r="F41" s="85" t="s">
        <v>124</v>
      </c>
      <c r="G41" s="101">
        <f t="shared" si="0"/>
        <v>139040</v>
      </c>
      <c r="H41" s="102">
        <v>0.3</v>
      </c>
      <c r="I41" s="101">
        <f t="shared" si="3"/>
        <v>2000</v>
      </c>
      <c r="J41" s="90" t="s">
        <v>125</v>
      </c>
      <c r="K41" s="103" t="s">
        <v>126</v>
      </c>
      <c r="L41" s="103">
        <v>9710</v>
      </c>
      <c r="M41" s="116" t="s">
        <v>244</v>
      </c>
      <c r="N41" s="101">
        <f>80511.35*K2</f>
        <v>520111.372135</v>
      </c>
      <c r="O41" s="101">
        <v>139040</v>
      </c>
      <c r="P41" s="101">
        <v>139040</v>
      </c>
      <c r="Q41" s="101">
        <v>139040</v>
      </c>
      <c r="S41" s="17"/>
      <c r="T41" s="17"/>
      <c r="V41" s="17"/>
    </row>
    <row r="42" ht="19.95" customHeight="true" spans="1:22">
      <c r="A42" s="84">
        <v>39</v>
      </c>
      <c r="B42" s="85" t="s">
        <v>121</v>
      </c>
      <c r="C42" s="86" t="s">
        <v>44</v>
      </c>
      <c r="D42" s="88" t="s">
        <v>330</v>
      </c>
      <c r="E42" s="85" t="s">
        <v>123</v>
      </c>
      <c r="F42" s="85" t="s">
        <v>124</v>
      </c>
      <c r="G42" s="101">
        <f t="shared" si="0"/>
        <v>0</v>
      </c>
      <c r="H42" s="102">
        <v>0.3</v>
      </c>
      <c r="I42" s="101">
        <f t="shared" si="3"/>
        <v>0</v>
      </c>
      <c r="J42" s="90" t="s">
        <v>125</v>
      </c>
      <c r="K42" s="103" t="s">
        <v>126</v>
      </c>
      <c r="L42" s="103">
        <v>9710</v>
      </c>
      <c r="M42" s="116" t="s">
        <v>246</v>
      </c>
      <c r="N42" s="101"/>
      <c r="O42" s="101"/>
      <c r="P42" s="101"/>
      <c r="Q42" s="101"/>
      <c r="R42" s="8" t="s">
        <v>331</v>
      </c>
      <c r="S42" s="17"/>
      <c r="T42" s="17"/>
      <c r="V42" s="17"/>
    </row>
    <row r="43" ht="19.95" customHeight="true" spans="1:22">
      <c r="A43" s="84">
        <v>40</v>
      </c>
      <c r="B43" s="85" t="s">
        <v>143</v>
      </c>
      <c r="C43" s="86" t="s">
        <v>46</v>
      </c>
      <c r="D43" s="87" t="s">
        <v>248</v>
      </c>
      <c r="E43" s="85" t="s">
        <v>123</v>
      </c>
      <c r="F43" s="103" t="s">
        <v>249</v>
      </c>
      <c r="G43" s="101">
        <f t="shared" si="0"/>
        <v>29800</v>
      </c>
      <c r="H43" s="102">
        <v>0.3</v>
      </c>
      <c r="I43" s="101">
        <f t="shared" si="3"/>
        <v>2000</v>
      </c>
      <c r="J43" s="90" t="s">
        <v>125</v>
      </c>
      <c r="K43" s="103" t="s">
        <v>126</v>
      </c>
      <c r="L43" s="103">
        <v>9710</v>
      </c>
      <c r="M43" s="116" t="s">
        <v>250</v>
      </c>
      <c r="N43" s="101">
        <f>24210.87*K2</f>
        <v>156404.641287</v>
      </c>
      <c r="O43" s="101">
        <v>29800</v>
      </c>
      <c r="P43" s="101">
        <v>29800</v>
      </c>
      <c r="Q43" s="101">
        <v>29800</v>
      </c>
      <c r="S43" s="17"/>
      <c r="T43" s="17"/>
      <c r="V43" s="17"/>
    </row>
    <row r="44" ht="19.95" customHeight="true" spans="1:22">
      <c r="A44" s="84">
        <v>41</v>
      </c>
      <c r="B44" s="85" t="s">
        <v>121</v>
      </c>
      <c r="C44" s="86" t="s">
        <v>37</v>
      </c>
      <c r="D44" s="88" t="s">
        <v>332</v>
      </c>
      <c r="E44" s="85" t="s">
        <v>123</v>
      </c>
      <c r="F44" s="85" t="s">
        <v>124</v>
      </c>
      <c r="G44" s="101">
        <f t="shared" si="0"/>
        <v>0</v>
      </c>
      <c r="H44" s="102">
        <v>0.3</v>
      </c>
      <c r="I44" s="101">
        <f t="shared" si="3"/>
        <v>0</v>
      </c>
      <c r="J44" s="90" t="s">
        <v>125</v>
      </c>
      <c r="K44" s="103" t="s">
        <v>126</v>
      </c>
      <c r="L44" s="103">
        <v>9710</v>
      </c>
      <c r="M44" s="116" t="s">
        <v>252</v>
      </c>
      <c r="N44" s="101"/>
      <c r="O44" s="101"/>
      <c r="P44" s="101"/>
      <c r="Q44" s="101"/>
      <c r="R44" s="8" t="s">
        <v>333</v>
      </c>
      <c r="S44" s="17"/>
      <c r="T44" s="17"/>
      <c r="V44" s="17"/>
    </row>
    <row r="45" ht="19.95" customHeight="true" spans="1:22">
      <c r="A45" s="89">
        <v>42</v>
      </c>
      <c r="B45" s="90" t="s">
        <v>254</v>
      </c>
      <c r="C45" s="86" t="s">
        <v>51</v>
      </c>
      <c r="D45" s="91" t="s">
        <v>334</v>
      </c>
      <c r="E45" s="90" t="s">
        <v>256</v>
      </c>
      <c r="F45" s="90" t="s">
        <v>257</v>
      </c>
      <c r="G45" s="101">
        <f t="shared" si="0"/>
        <v>0</v>
      </c>
      <c r="H45" s="102">
        <v>0.3</v>
      </c>
      <c r="I45" s="101">
        <f t="shared" si="3"/>
        <v>0</v>
      </c>
      <c r="J45" s="90" t="s">
        <v>125</v>
      </c>
      <c r="K45" s="112" t="s">
        <v>125</v>
      </c>
      <c r="L45" s="112">
        <v>9710</v>
      </c>
      <c r="M45" s="116" t="s">
        <v>258</v>
      </c>
      <c r="N45" s="101">
        <f>208684.02*K2</f>
        <v>1348119.637602</v>
      </c>
      <c r="O45" s="101"/>
      <c r="P45" s="101"/>
      <c r="Q45" s="101"/>
      <c r="R45" s="8" t="s">
        <v>335</v>
      </c>
      <c r="S45" s="17"/>
      <c r="T45" s="17"/>
      <c r="V45" s="17"/>
    </row>
    <row r="46" ht="19.95" customHeight="true" spans="1:22">
      <c r="A46" s="84">
        <v>43</v>
      </c>
      <c r="B46" s="85" t="s">
        <v>153</v>
      </c>
      <c r="C46" s="86" t="s">
        <v>47</v>
      </c>
      <c r="D46" s="88" t="s">
        <v>336</v>
      </c>
      <c r="E46" s="85" t="s">
        <v>123</v>
      </c>
      <c r="F46" s="85" t="s">
        <v>124</v>
      </c>
      <c r="G46" s="101">
        <f t="shared" si="0"/>
        <v>0</v>
      </c>
      <c r="H46" s="102">
        <v>0.5</v>
      </c>
      <c r="I46" s="101">
        <f t="shared" ref="I46:I47" si="4">ROUNDDOWN(MIN(G46*H46,2000),-2)</f>
        <v>0</v>
      </c>
      <c r="J46" s="90" t="s">
        <v>135</v>
      </c>
      <c r="K46" s="103" t="s">
        <v>126</v>
      </c>
      <c r="L46" s="103">
        <v>1210</v>
      </c>
      <c r="M46" s="116" t="s">
        <v>261</v>
      </c>
      <c r="N46" s="101">
        <f>751025.43*K2</f>
        <v>4851699.380343</v>
      </c>
      <c r="O46" s="101"/>
      <c r="P46" s="101"/>
      <c r="Q46" s="101"/>
      <c r="R46" s="8" t="s">
        <v>337</v>
      </c>
      <c r="S46" s="17"/>
      <c r="T46" s="17"/>
      <c r="V46" s="17"/>
    </row>
    <row r="47" ht="19.95" customHeight="true" spans="1:22">
      <c r="A47" s="84">
        <v>44</v>
      </c>
      <c r="B47" s="85" t="s">
        <v>153</v>
      </c>
      <c r="C47" s="86" t="s">
        <v>47</v>
      </c>
      <c r="D47" s="88" t="s">
        <v>338</v>
      </c>
      <c r="E47" s="85" t="s">
        <v>123</v>
      </c>
      <c r="F47" s="85" t="s">
        <v>124</v>
      </c>
      <c r="G47" s="101">
        <f t="shared" si="0"/>
        <v>0</v>
      </c>
      <c r="H47" s="102">
        <v>0.3</v>
      </c>
      <c r="I47" s="101">
        <f t="shared" si="4"/>
        <v>0</v>
      </c>
      <c r="J47" s="90" t="s">
        <v>125</v>
      </c>
      <c r="K47" s="103" t="s">
        <v>126</v>
      </c>
      <c r="L47" s="103">
        <v>1210</v>
      </c>
      <c r="M47" s="116" t="s">
        <v>264</v>
      </c>
      <c r="N47" s="101">
        <f>3243936.99*K2</f>
        <v>20956157.349099</v>
      </c>
      <c r="O47" s="101"/>
      <c r="P47" s="101"/>
      <c r="Q47" s="101"/>
      <c r="R47" s="8" t="s">
        <v>337</v>
      </c>
      <c r="S47" s="17"/>
      <c r="T47" s="17"/>
      <c r="V47" s="17"/>
    </row>
    <row r="48" ht="19.95" customHeight="true" spans="1:22">
      <c r="A48" s="84">
        <v>45</v>
      </c>
      <c r="B48" s="85" t="s">
        <v>121</v>
      </c>
      <c r="C48" s="86" t="s">
        <v>37</v>
      </c>
      <c r="D48" s="87" t="s">
        <v>266</v>
      </c>
      <c r="E48" s="85" t="s">
        <v>123</v>
      </c>
      <c r="F48" s="85" t="s">
        <v>124</v>
      </c>
      <c r="G48" s="101">
        <f t="shared" si="0"/>
        <v>508000</v>
      </c>
      <c r="H48" s="102">
        <v>0.5</v>
      </c>
      <c r="I48" s="101">
        <f>ROUNDDOWN(MIN(G48*H48,30000),-2)</f>
        <v>30000</v>
      </c>
      <c r="J48" s="113" t="s">
        <v>312</v>
      </c>
      <c r="K48" s="103" t="s">
        <v>126</v>
      </c>
      <c r="L48" s="103">
        <v>9710</v>
      </c>
      <c r="M48" s="116" t="s">
        <v>267</v>
      </c>
      <c r="N48" s="101">
        <f>1306950.28*6.4601</f>
        <v>8443029.503828</v>
      </c>
      <c r="O48" s="101">
        <v>628000</v>
      </c>
      <c r="P48" s="101">
        <v>508000</v>
      </c>
      <c r="Q48" s="101">
        <v>686259.15</v>
      </c>
      <c r="S48" s="17"/>
      <c r="T48" s="17"/>
      <c r="V48" s="17"/>
    </row>
    <row r="49" ht="19.95" customHeight="true" spans="1:22">
      <c r="A49" s="84">
        <v>46</v>
      </c>
      <c r="B49" s="85" t="s">
        <v>143</v>
      </c>
      <c r="C49" s="86" t="s">
        <v>46</v>
      </c>
      <c r="D49" s="87" t="s">
        <v>269</v>
      </c>
      <c r="E49" s="85" t="s">
        <v>123</v>
      </c>
      <c r="F49" s="85" t="s">
        <v>124</v>
      </c>
      <c r="G49" s="101">
        <f t="shared" si="0"/>
        <v>80000</v>
      </c>
      <c r="H49" s="102">
        <v>0.5</v>
      </c>
      <c r="I49" s="101">
        <f>ROUNDDOWN(MIN(G49*H49,30000),-2)</f>
        <v>30000</v>
      </c>
      <c r="J49" s="90" t="s">
        <v>135</v>
      </c>
      <c r="K49" s="103" t="s">
        <v>126</v>
      </c>
      <c r="L49" s="103">
        <v>9710</v>
      </c>
      <c r="M49" s="116" t="s">
        <v>270</v>
      </c>
      <c r="N49" s="101">
        <f>1059515.1*K2</f>
        <v>6844573.49751</v>
      </c>
      <c r="O49" s="101">
        <v>80000</v>
      </c>
      <c r="P49" s="101">
        <v>80000</v>
      </c>
      <c r="Q49" s="101">
        <v>80000</v>
      </c>
      <c r="S49" s="17"/>
      <c r="T49" s="17"/>
      <c r="V49" s="17"/>
    </row>
    <row r="50" ht="19.95" customHeight="true" spans="1:22">
      <c r="A50" s="84">
        <v>47</v>
      </c>
      <c r="B50" s="85" t="s">
        <v>133</v>
      </c>
      <c r="C50" s="86" t="s">
        <v>45</v>
      </c>
      <c r="D50" s="87" t="s">
        <v>272</v>
      </c>
      <c r="E50" s="85" t="s">
        <v>123</v>
      </c>
      <c r="F50" s="103" t="s">
        <v>273</v>
      </c>
      <c r="G50" s="101">
        <f t="shared" si="0"/>
        <v>126928.86</v>
      </c>
      <c r="H50" s="102">
        <v>0.5</v>
      </c>
      <c r="I50" s="101">
        <f>ROUNDDOWN(MIN(G50*H50,70000),-2)</f>
        <v>63400</v>
      </c>
      <c r="J50" s="90" t="s">
        <v>125</v>
      </c>
      <c r="K50" s="103" t="s">
        <v>136</v>
      </c>
      <c r="L50" s="103">
        <v>9710</v>
      </c>
      <c r="M50" s="116" t="s">
        <v>274</v>
      </c>
      <c r="N50" s="101">
        <f>3967649.57*K2</f>
        <v>25631412.987157</v>
      </c>
      <c r="O50" s="101">
        <v>139180</v>
      </c>
      <c r="P50" s="101">
        <v>140180</v>
      </c>
      <c r="Q50" s="101">
        <v>126928.86</v>
      </c>
      <c r="S50" s="17"/>
      <c r="T50" s="17"/>
      <c r="V50" s="17"/>
    </row>
    <row r="51" ht="19.95" customHeight="true" spans="1:22">
      <c r="A51" s="84">
        <v>48</v>
      </c>
      <c r="B51" s="85" t="s">
        <v>133</v>
      </c>
      <c r="C51" s="86" t="s">
        <v>45</v>
      </c>
      <c r="D51" s="87" t="s">
        <v>276</v>
      </c>
      <c r="E51" s="85" t="s">
        <v>123</v>
      </c>
      <c r="F51" s="85" t="s">
        <v>124</v>
      </c>
      <c r="G51" s="101">
        <f t="shared" si="0"/>
        <v>95304.08</v>
      </c>
      <c r="H51" s="102">
        <v>0.5</v>
      </c>
      <c r="I51" s="101">
        <f>ROUNDDOWN(MIN(G51*H51,30000),-2)</f>
        <v>30000</v>
      </c>
      <c r="J51" s="90" t="s">
        <v>125</v>
      </c>
      <c r="K51" s="103" t="s">
        <v>136</v>
      </c>
      <c r="L51" s="103">
        <v>9710</v>
      </c>
      <c r="M51" s="116" t="s">
        <v>277</v>
      </c>
      <c r="N51" s="101">
        <f>1138507.55*K2</f>
        <v>7354872.623755</v>
      </c>
      <c r="O51" s="101">
        <v>100000</v>
      </c>
      <c r="P51" s="101">
        <v>100000</v>
      </c>
      <c r="Q51" s="101">
        <v>95304.08</v>
      </c>
      <c r="S51" s="17"/>
      <c r="T51" s="17"/>
      <c r="V51" s="17"/>
    </row>
    <row r="52" ht="19.95" customHeight="true" spans="1:22">
      <c r="A52" s="84">
        <v>49</v>
      </c>
      <c r="B52" s="85" t="s">
        <v>169</v>
      </c>
      <c r="C52" s="86" t="s">
        <v>51</v>
      </c>
      <c r="D52" s="87" t="s">
        <v>278</v>
      </c>
      <c r="E52" s="85" t="s">
        <v>123</v>
      </c>
      <c r="F52" s="85" t="s">
        <v>124</v>
      </c>
      <c r="G52" s="101">
        <f t="shared" si="0"/>
        <v>224972.89</v>
      </c>
      <c r="H52" s="102">
        <v>0.3</v>
      </c>
      <c r="I52" s="101">
        <f>ROUNDDOWN(MIN(G52*H52,30000),-2)</f>
        <v>30000</v>
      </c>
      <c r="J52" s="90" t="s">
        <v>125</v>
      </c>
      <c r="K52" s="103" t="s">
        <v>126</v>
      </c>
      <c r="L52" s="103">
        <v>9710</v>
      </c>
      <c r="M52" s="116" t="s">
        <v>279</v>
      </c>
      <c r="N52" s="101">
        <f>514948.5*K2</f>
        <v>3326618.80485</v>
      </c>
      <c r="O52" s="101">
        <v>266820</v>
      </c>
      <c r="P52" s="101">
        <v>231310</v>
      </c>
      <c r="Q52" s="101">
        <v>224972.89</v>
      </c>
      <c r="S52" s="17"/>
      <c r="T52" s="17"/>
      <c r="V52" s="17"/>
    </row>
    <row r="53" ht="19.95" customHeight="true" spans="1:22">
      <c r="A53" s="84">
        <v>50</v>
      </c>
      <c r="B53" s="85" t="s">
        <v>133</v>
      </c>
      <c r="C53" s="86" t="s">
        <v>45</v>
      </c>
      <c r="D53" s="87" t="s">
        <v>339</v>
      </c>
      <c r="E53" s="85" t="s">
        <v>123</v>
      </c>
      <c r="F53" s="85" t="s">
        <v>124</v>
      </c>
      <c r="G53" s="101">
        <f t="shared" si="0"/>
        <v>25000</v>
      </c>
      <c r="H53" s="102">
        <v>0.3</v>
      </c>
      <c r="I53" s="101">
        <f t="shared" si="3"/>
        <v>2000</v>
      </c>
      <c r="J53" s="90" t="s">
        <v>125</v>
      </c>
      <c r="K53" s="103" t="s">
        <v>126</v>
      </c>
      <c r="L53" s="103">
        <v>9710</v>
      </c>
      <c r="M53" s="116" t="s">
        <v>282</v>
      </c>
      <c r="N53" s="101">
        <f>397166.04*K2</f>
        <v>2565732.335004</v>
      </c>
      <c r="O53" s="101">
        <v>25000</v>
      </c>
      <c r="P53" s="101">
        <v>25000</v>
      </c>
      <c r="Q53" s="101">
        <v>64700</v>
      </c>
      <c r="R53" s="8" t="s">
        <v>283</v>
      </c>
      <c r="S53" s="17"/>
      <c r="T53" s="17"/>
      <c r="V53" s="17"/>
    </row>
    <row r="54" ht="19.95" customHeight="true" spans="1:22">
      <c r="A54" s="84">
        <v>51</v>
      </c>
      <c r="B54" s="85" t="s">
        <v>121</v>
      </c>
      <c r="C54" s="86" t="s">
        <v>37</v>
      </c>
      <c r="D54" s="87" t="s">
        <v>284</v>
      </c>
      <c r="E54" s="85" t="s">
        <v>123</v>
      </c>
      <c r="F54" s="103" t="s">
        <v>285</v>
      </c>
      <c r="G54" s="101">
        <f t="shared" si="0"/>
        <v>43088</v>
      </c>
      <c r="H54" s="102">
        <v>0.5</v>
      </c>
      <c r="I54" s="101">
        <f>ROUNDDOWN(MIN(G54*H54,70000),-2)</f>
        <v>21500</v>
      </c>
      <c r="J54" s="113" t="s">
        <v>312</v>
      </c>
      <c r="K54" s="103" t="s">
        <v>136</v>
      </c>
      <c r="L54" s="103">
        <v>9710</v>
      </c>
      <c r="M54" s="116" t="s">
        <v>286</v>
      </c>
      <c r="N54" s="101">
        <f>4805813.06*K2</f>
        <v>31046032.948906</v>
      </c>
      <c r="O54" s="101">
        <v>46288</v>
      </c>
      <c r="P54" s="101">
        <v>43088</v>
      </c>
      <c r="Q54" s="101">
        <v>46288</v>
      </c>
      <c r="R54" s="8" t="s">
        <v>340</v>
      </c>
      <c r="S54" s="17"/>
      <c r="T54" s="17"/>
      <c r="V54" s="17"/>
    </row>
    <row r="55" ht="19.95" customHeight="true" spans="1:22">
      <c r="A55" s="84">
        <v>52</v>
      </c>
      <c r="B55" s="85" t="s">
        <v>147</v>
      </c>
      <c r="C55" s="86" t="s">
        <v>48</v>
      </c>
      <c r="D55" s="87" t="s">
        <v>288</v>
      </c>
      <c r="E55" s="85" t="s">
        <v>123</v>
      </c>
      <c r="F55" s="85" t="s">
        <v>124</v>
      </c>
      <c r="G55" s="101">
        <f t="shared" si="0"/>
        <v>39800</v>
      </c>
      <c r="H55" s="102">
        <v>0.3</v>
      </c>
      <c r="I55" s="101">
        <f>ROUNDDOWN(MIN(G55*H55,2000),-2)</f>
        <v>2000</v>
      </c>
      <c r="J55" s="90" t="s">
        <v>125</v>
      </c>
      <c r="K55" s="103" t="s">
        <v>126</v>
      </c>
      <c r="L55" s="103">
        <v>9710</v>
      </c>
      <c r="M55" s="116" t="s">
        <v>289</v>
      </c>
      <c r="N55" s="101">
        <f>16227*K2</f>
        <v>104828.0427</v>
      </c>
      <c r="O55" s="101">
        <v>39800</v>
      </c>
      <c r="P55" s="101">
        <v>39800</v>
      </c>
      <c r="Q55" s="101">
        <v>60847.54</v>
      </c>
      <c r="R55" s="17"/>
      <c r="S55" s="17"/>
      <c r="T55" s="17"/>
      <c r="V55" s="17"/>
    </row>
    <row r="56" ht="19.95" customHeight="true" spans="1:22">
      <c r="A56" s="84">
        <v>53</v>
      </c>
      <c r="B56" s="85" t="s">
        <v>121</v>
      </c>
      <c r="C56" s="86" t="s">
        <v>44</v>
      </c>
      <c r="D56" s="88" t="s">
        <v>341</v>
      </c>
      <c r="E56" s="85" t="s">
        <v>123</v>
      </c>
      <c r="F56" s="85" t="s">
        <v>291</v>
      </c>
      <c r="G56" s="101">
        <f t="shared" si="0"/>
        <v>0</v>
      </c>
      <c r="H56" s="102">
        <v>0.3</v>
      </c>
      <c r="I56" s="101">
        <f>ROUNDDOWN(MIN(G56*H56,2000),-2)</f>
        <v>0</v>
      </c>
      <c r="J56" s="90" t="s">
        <v>125</v>
      </c>
      <c r="K56" s="103" t="s">
        <v>126</v>
      </c>
      <c r="L56" s="103"/>
      <c r="M56" s="116"/>
      <c r="N56" s="101"/>
      <c r="O56" s="101"/>
      <c r="P56" s="101"/>
      <c r="Q56" s="101"/>
      <c r="R56" s="8" t="s">
        <v>292</v>
      </c>
      <c r="S56" s="17"/>
      <c r="T56" s="17"/>
      <c r="V56" s="17"/>
    </row>
    <row r="57" ht="19.95" customHeight="true" spans="1:22">
      <c r="A57" s="84">
        <v>54</v>
      </c>
      <c r="B57" s="85" t="s">
        <v>186</v>
      </c>
      <c r="C57" s="86" t="s">
        <v>42</v>
      </c>
      <c r="D57" s="87" t="s">
        <v>293</v>
      </c>
      <c r="E57" s="85" t="s">
        <v>123</v>
      </c>
      <c r="F57" s="85" t="s">
        <v>124</v>
      </c>
      <c r="G57" s="101">
        <f t="shared" si="0"/>
        <v>80000</v>
      </c>
      <c r="H57" s="102">
        <v>0.3</v>
      </c>
      <c r="I57" s="101">
        <f>ROUNDDOWN(MIN(G57*H57,2000),-2)</f>
        <v>2000</v>
      </c>
      <c r="J57" s="90" t="s">
        <v>125</v>
      </c>
      <c r="K57" s="103" t="s">
        <v>126</v>
      </c>
      <c r="L57" s="103">
        <v>9710</v>
      </c>
      <c r="M57" s="116" t="s">
        <v>294</v>
      </c>
      <c r="N57" s="101">
        <f>153988.32*K2</f>
        <v>994779.946032</v>
      </c>
      <c r="O57" s="101">
        <v>80000</v>
      </c>
      <c r="P57" s="101">
        <v>90000</v>
      </c>
      <c r="Q57" s="101">
        <v>80000</v>
      </c>
      <c r="S57" s="17"/>
      <c r="T57" s="17"/>
      <c r="V57" s="17"/>
    </row>
    <row r="58" ht="19.95" customHeight="true" spans="1:22">
      <c r="A58" s="84">
        <v>55</v>
      </c>
      <c r="B58" s="85" t="s">
        <v>295</v>
      </c>
      <c r="C58" s="86" t="s">
        <v>44</v>
      </c>
      <c r="D58" s="87" t="s">
        <v>296</v>
      </c>
      <c r="E58" s="85" t="s">
        <v>123</v>
      </c>
      <c r="F58" s="85" t="s">
        <v>124</v>
      </c>
      <c r="G58" s="101">
        <f t="shared" si="0"/>
        <v>90000</v>
      </c>
      <c r="H58" s="102">
        <v>0.3</v>
      </c>
      <c r="I58" s="101">
        <f t="shared" ref="I58" si="5">ROUNDDOWN(MIN(G58*H58,2000),-2)</f>
        <v>2000</v>
      </c>
      <c r="J58" s="90" t="s">
        <v>125</v>
      </c>
      <c r="K58" s="103" t="s">
        <v>126</v>
      </c>
      <c r="L58" s="103">
        <v>9710</v>
      </c>
      <c r="M58" s="116" t="s">
        <v>297</v>
      </c>
      <c r="N58" s="101">
        <f>202188*K2</f>
        <v>1306154.6988</v>
      </c>
      <c r="O58" s="101">
        <v>90000</v>
      </c>
      <c r="P58" s="101">
        <v>95000</v>
      </c>
      <c r="Q58" s="101">
        <v>98312.11</v>
      </c>
      <c r="S58" s="17"/>
      <c r="T58" s="17"/>
      <c r="V58" s="17"/>
    </row>
    <row r="59" ht="19.95" customHeight="true" spans="1:22">
      <c r="A59" s="84">
        <v>56</v>
      </c>
      <c r="B59" s="85" t="s">
        <v>139</v>
      </c>
      <c r="C59" s="86" t="s">
        <v>41</v>
      </c>
      <c r="D59" s="88" t="s">
        <v>342</v>
      </c>
      <c r="E59" s="85" t="s">
        <v>123</v>
      </c>
      <c r="F59" s="85" t="s">
        <v>165</v>
      </c>
      <c r="G59" s="101">
        <f t="shared" si="0"/>
        <v>0</v>
      </c>
      <c r="H59" s="102">
        <v>0.5</v>
      </c>
      <c r="I59" s="101">
        <f>ROUNDDOWN(MIN(G59*H59,70000),-2)</f>
        <v>0</v>
      </c>
      <c r="J59" s="90" t="s">
        <v>125</v>
      </c>
      <c r="K59" s="103" t="s">
        <v>136</v>
      </c>
      <c r="L59" s="103"/>
      <c r="M59" s="116" t="s">
        <v>299</v>
      </c>
      <c r="N59" s="101"/>
      <c r="O59" s="101"/>
      <c r="P59" s="101"/>
      <c r="Q59" s="101"/>
      <c r="R59" s="121" t="s">
        <v>343</v>
      </c>
      <c r="S59" s="17"/>
      <c r="T59" s="17"/>
      <c r="V59" s="17"/>
    </row>
    <row r="60" ht="19.95" customHeight="true" spans="1:22">
      <c r="A60" s="89">
        <v>57</v>
      </c>
      <c r="B60" s="90" t="s">
        <v>301</v>
      </c>
      <c r="C60" s="86" t="s">
        <v>37</v>
      </c>
      <c r="D60" s="92" t="s">
        <v>344</v>
      </c>
      <c r="E60" s="90" t="s">
        <v>256</v>
      </c>
      <c r="F60" s="90" t="s">
        <v>257</v>
      </c>
      <c r="G60" s="101">
        <f t="shared" si="0"/>
        <v>30000</v>
      </c>
      <c r="H60" s="102">
        <v>0.3</v>
      </c>
      <c r="I60" s="101">
        <f>ROUNDDOWN(MIN(G60*H60,30000),-2)</f>
        <v>9000</v>
      </c>
      <c r="J60" s="90" t="s">
        <v>125</v>
      </c>
      <c r="K60" s="112" t="s">
        <v>125</v>
      </c>
      <c r="L60" s="112">
        <v>9710</v>
      </c>
      <c r="M60" s="116" t="s">
        <v>303</v>
      </c>
      <c r="N60" s="101">
        <f>568703.98*K2</f>
        <v>3673884.581198</v>
      </c>
      <c r="O60" s="101">
        <v>30000</v>
      </c>
      <c r="P60" s="101">
        <v>30000</v>
      </c>
      <c r="Q60" s="101">
        <v>30000</v>
      </c>
      <c r="R60" s="8" t="s">
        <v>345</v>
      </c>
      <c r="S60" s="17"/>
      <c r="T60" s="17"/>
      <c r="V60" s="17"/>
    </row>
    <row r="61" ht="19.95" customHeight="true" spans="1:17">
      <c r="A61" s="93" t="s">
        <v>30</v>
      </c>
      <c r="B61" s="94"/>
      <c r="C61" s="94"/>
      <c r="D61" s="95"/>
      <c r="E61" s="82"/>
      <c r="F61" s="82"/>
      <c r="G61" s="104">
        <f>SUM(G4:G60)</f>
        <v>9546931.704094</v>
      </c>
      <c r="H61" s="104">
        <f>SUM(H4:H60)</f>
        <v>20.7</v>
      </c>
      <c r="I61" s="104">
        <f>SUM(I4:I60)</f>
        <v>1245000</v>
      </c>
      <c r="J61" s="101"/>
      <c r="K61" s="92"/>
      <c r="L61" s="92"/>
      <c r="M61" s="118"/>
      <c r="N61" s="119"/>
      <c r="O61" s="119"/>
      <c r="P61" s="92"/>
      <c r="Q61" s="92"/>
    </row>
    <row r="62" ht="19.95" customHeight="true" spans="14:14">
      <c r="N62" s="120">
        <f>SUM(N4:N60)</f>
        <v>712519032.80206</v>
      </c>
    </row>
    <row r="63" ht="19.95" customHeight="true" spans="8:14">
      <c r="H63" s="9"/>
      <c r="N63" s="120"/>
    </row>
    <row r="64" ht="19.95" customHeight="true" spans="14:17">
      <c r="N64" s="120"/>
      <c r="O64" s="120"/>
      <c r="P64" s="120"/>
      <c r="Q64" s="120"/>
    </row>
    <row r="65" s="8" customFormat="true" spans="7:17">
      <c r="G65" s="9"/>
      <c r="H65" s="76"/>
      <c r="I65" s="9"/>
      <c r="J65" s="9"/>
      <c r="M65" s="77"/>
      <c r="N65" s="78"/>
      <c r="O65" s="123"/>
      <c r="P65" s="123"/>
      <c r="Q65" s="123"/>
    </row>
    <row r="66" s="8" customFormat="true" spans="7:17">
      <c r="G66" s="9"/>
      <c r="H66" s="76"/>
      <c r="I66" s="9"/>
      <c r="J66" s="9"/>
      <c r="M66" s="77"/>
      <c r="N66" s="78"/>
      <c r="O66" s="120"/>
      <c r="P66" s="120"/>
      <c r="Q66" s="120"/>
    </row>
    <row r="67" s="8" customFormat="true" spans="7:15">
      <c r="G67" s="9"/>
      <c r="H67" s="122"/>
      <c r="I67" s="9"/>
      <c r="J67" s="9"/>
      <c r="M67" s="77"/>
      <c r="N67" s="78"/>
      <c r="O67" s="78"/>
    </row>
    <row r="68" s="8" customFormat="true" spans="13:15">
      <c r="M68" s="77"/>
      <c r="N68" s="78"/>
      <c r="O68" s="78"/>
    </row>
    <row r="69" s="8" customFormat="true" spans="13:15">
      <c r="M69" s="77"/>
      <c r="N69" s="78"/>
      <c r="O69" s="78"/>
    </row>
    <row r="70" s="8" customFormat="true" spans="13:15">
      <c r="M70" s="77"/>
      <c r="N70" s="78"/>
      <c r="O70" s="78"/>
    </row>
    <row r="71" s="8" customFormat="true" spans="13:15">
      <c r="M71" s="77"/>
      <c r="N71" s="78"/>
      <c r="O71" s="78"/>
    </row>
    <row r="72" s="8" customFormat="true" spans="13:15">
      <c r="M72" s="77"/>
      <c r="N72" s="78"/>
      <c r="O72" s="78"/>
    </row>
    <row r="73" s="8" customFormat="true" spans="13:15">
      <c r="M73" s="77"/>
      <c r="N73" s="78"/>
      <c r="O73" s="78"/>
    </row>
    <row r="74" s="8" customFormat="true" spans="13:15">
      <c r="M74" s="77"/>
      <c r="N74" s="78"/>
      <c r="O74" s="78"/>
    </row>
  </sheetData>
  <autoFilter ref="A3:V62">
    <extLst/>
  </autoFilter>
  <mergeCells count="2">
    <mergeCell ref="A1:I1"/>
    <mergeCell ref="A61:D61"/>
  </mergeCells>
  <pageMargins left="0.708661417322835" right="0.708661417322835"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8"/>
  <sheetViews>
    <sheetView workbookViewId="0">
      <pane xSplit="1" ySplit="2" topLeftCell="C303" activePane="bottomRight" state="frozen"/>
      <selection/>
      <selection pane="topRight"/>
      <selection pane="bottomLeft"/>
      <selection pane="bottomRight" activeCell="F13" sqref="F13"/>
    </sheetView>
  </sheetViews>
  <sheetFormatPr defaultColWidth="9" defaultRowHeight="18" customHeight="true"/>
  <cols>
    <col min="1" max="1" width="7" style="5" customWidth="true"/>
    <col min="2" max="2" width="36" style="6" customWidth="true"/>
    <col min="3" max="3" width="20.775" style="5" customWidth="true"/>
    <col min="4" max="4" width="16.8833333333333" style="8" customWidth="true"/>
    <col min="5" max="5" width="10.775" style="5" customWidth="true"/>
    <col min="6" max="6" width="11.775" style="8" customWidth="true"/>
    <col min="7" max="7" width="10.775" style="5" customWidth="true"/>
    <col min="8" max="8" width="11.775" style="8" customWidth="true"/>
    <col min="9" max="9" width="44.1083333333333" style="6" customWidth="true"/>
    <col min="10" max="10" width="17.3333333333333" style="8" customWidth="true"/>
    <col min="11" max="11" width="12.1083333333333" style="5" customWidth="true"/>
    <col min="12" max="12" width="11" style="8" customWidth="true"/>
    <col min="13" max="16384" width="8.88333333333333" style="8"/>
  </cols>
  <sheetData>
    <row r="1" customHeight="true" spans="1:8">
      <c r="A1" s="5" t="s">
        <v>346</v>
      </c>
      <c r="B1" s="5" t="s">
        <v>347</v>
      </c>
      <c r="C1" s="5" t="s">
        <v>348</v>
      </c>
      <c r="D1" s="5"/>
      <c r="E1" s="5" t="s">
        <v>349</v>
      </c>
      <c r="F1" s="5"/>
      <c r="G1" s="5" t="s">
        <v>350</v>
      </c>
      <c r="H1" s="5"/>
    </row>
    <row r="2" s="5" customFormat="true" customHeight="true" spans="3:12">
      <c r="C2" s="5" t="s">
        <v>351</v>
      </c>
      <c r="D2" s="5" t="s">
        <v>352</v>
      </c>
      <c r="E2" s="5" t="s">
        <v>351</v>
      </c>
      <c r="F2" s="5" t="s">
        <v>352</v>
      </c>
      <c r="G2" s="5" t="s">
        <v>351</v>
      </c>
      <c r="H2" s="5" t="s">
        <v>352</v>
      </c>
      <c r="I2" s="6"/>
      <c r="J2" s="6"/>
      <c r="L2" s="5">
        <v>11</v>
      </c>
    </row>
    <row r="3" s="11" customFormat="true" customHeight="true" spans="1:12">
      <c r="A3" s="11">
        <v>1</v>
      </c>
      <c r="B3" s="51"/>
      <c r="D3" s="52">
        <f>D4</f>
        <v>203670</v>
      </c>
      <c r="E3" s="52"/>
      <c r="F3" s="52">
        <f>F4</f>
        <v>200189.82</v>
      </c>
      <c r="G3" s="52"/>
      <c r="H3" s="52">
        <f t="shared" ref="H3" si="0">H4</f>
        <v>203670</v>
      </c>
      <c r="I3" s="51"/>
      <c r="J3" s="51"/>
      <c r="L3" s="52">
        <f>SUM(L4:L72)</f>
        <v>34616.94</v>
      </c>
    </row>
    <row r="4" s="5" customFormat="true" customHeight="true" spans="2:12">
      <c r="B4" s="6" t="s">
        <v>353</v>
      </c>
      <c r="C4" s="5" t="s">
        <v>354</v>
      </c>
      <c r="D4" s="53">
        <v>203670</v>
      </c>
      <c r="E4" s="5" t="s">
        <v>355</v>
      </c>
      <c r="F4" s="53">
        <v>200189.82</v>
      </c>
      <c r="G4" s="5" t="s">
        <v>356</v>
      </c>
      <c r="H4" s="53">
        <v>203670</v>
      </c>
      <c r="I4" s="6"/>
      <c r="J4" s="6"/>
      <c r="K4" s="5" t="s">
        <v>357</v>
      </c>
      <c r="L4" s="53">
        <v>500.55</v>
      </c>
    </row>
    <row r="5" s="11" customFormat="true" customHeight="true" spans="1:12">
      <c r="A5" s="11">
        <v>2</v>
      </c>
      <c r="B5" s="51"/>
      <c r="D5" s="54">
        <f>SUM(D6:D9)</f>
        <v>266430</v>
      </c>
      <c r="E5" s="54"/>
      <c r="F5" s="54">
        <f>SUM(F6:F9)</f>
        <v>299230</v>
      </c>
      <c r="G5" s="54"/>
      <c r="H5" s="54">
        <f t="shared" ref="H5" si="1">SUM(H6:H9)</f>
        <v>266430</v>
      </c>
      <c r="I5" s="51"/>
      <c r="J5" s="51"/>
      <c r="K5" s="5" t="s">
        <v>357</v>
      </c>
      <c r="L5" s="53">
        <v>500.73</v>
      </c>
    </row>
    <row r="6" s="5" customFormat="true" customHeight="true" spans="2:12">
      <c r="B6" s="6" t="s">
        <v>358</v>
      </c>
      <c r="C6" s="5" t="s">
        <v>359</v>
      </c>
      <c r="D6" s="53">
        <v>72600</v>
      </c>
      <c r="E6" s="5" t="s">
        <v>360</v>
      </c>
      <c r="F6" s="53">
        <v>72600</v>
      </c>
      <c r="G6" s="5" t="s">
        <v>361</v>
      </c>
      <c r="H6" s="53">
        <v>72600</v>
      </c>
      <c r="I6" s="6"/>
      <c r="J6" s="6"/>
      <c r="K6" s="5" t="s">
        <v>357</v>
      </c>
      <c r="L6" s="53">
        <v>506.34</v>
      </c>
    </row>
    <row r="7" s="5" customFormat="true" customHeight="true" spans="2:12">
      <c r="B7" s="55" t="s">
        <v>362</v>
      </c>
      <c r="C7" s="5" t="s">
        <v>363</v>
      </c>
      <c r="D7" s="53">
        <v>160000</v>
      </c>
      <c r="E7" s="5" t="s">
        <v>364</v>
      </c>
      <c r="F7" s="53">
        <v>110000</v>
      </c>
      <c r="G7" s="5" t="s">
        <v>365</v>
      </c>
      <c r="H7" s="53">
        <v>160000</v>
      </c>
      <c r="I7" s="6"/>
      <c r="J7" s="6"/>
      <c r="K7" s="5" t="s">
        <v>366</v>
      </c>
      <c r="L7" s="53">
        <v>504.95</v>
      </c>
    </row>
    <row r="8" s="5" customFormat="true" customHeight="true" spans="2:12">
      <c r="B8" s="6"/>
      <c r="D8" s="53"/>
      <c r="E8" s="5" t="s">
        <v>367</v>
      </c>
      <c r="F8" s="53">
        <v>82800</v>
      </c>
      <c r="H8" s="53"/>
      <c r="I8" s="6"/>
      <c r="J8" s="6"/>
      <c r="K8" s="5" t="s">
        <v>368</v>
      </c>
      <c r="L8" s="53">
        <v>502.66</v>
      </c>
    </row>
    <row r="9" s="5" customFormat="true" customHeight="true" spans="2:12">
      <c r="B9" s="6" t="s">
        <v>369</v>
      </c>
      <c r="C9" s="5" t="s">
        <v>370</v>
      </c>
      <c r="D9" s="53">
        <v>33830</v>
      </c>
      <c r="E9" s="5" t="s">
        <v>371</v>
      </c>
      <c r="F9" s="53">
        <v>33830</v>
      </c>
      <c r="G9" s="5" t="s">
        <v>372</v>
      </c>
      <c r="H9" s="53">
        <v>33830</v>
      </c>
      <c r="I9" s="6"/>
      <c r="J9" s="6"/>
      <c r="K9" s="5" t="s">
        <v>373</v>
      </c>
      <c r="L9" s="53">
        <v>500.41</v>
      </c>
    </row>
    <row r="10" s="11" customFormat="true" customHeight="true" spans="1:12">
      <c r="A10" s="11">
        <v>3</v>
      </c>
      <c r="B10" s="51"/>
      <c r="D10" s="54">
        <f>SUM(D17:D20)</f>
        <v>1593770</v>
      </c>
      <c r="E10" s="54"/>
      <c r="F10" s="54">
        <f t="shared" ref="F10:H10" si="2">SUM(F17:F20)</f>
        <v>1493770</v>
      </c>
      <c r="G10" s="54"/>
      <c r="H10" s="54">
        <f t="shared" si="2"/>
        <v>1493770</v>
      </c>
      <c r="I10" s="51"/>
      <c r="J10" s="51"/>
      <c r="K10" s="5" t="s">
        <v>373</v>
      </c>
      <c r="L10" s="53">
        <v>500.9</v>
      </c>
    </row>
    <row r="11" s="5" customFormat="true" customHeight="true" spans="2:12">
      <c r="B11" s="6" t="s">
        <v>353</v>
      </c>
      <c r="C11" s="56" t="s">
        <v>374</v>
      </c>
      <c r="D11" s="57">
        <v>396570</v>
      </c>
      <c r="E11" s="56" t="s">
        <v>375</v>
      </c>
      <c r="F11" s="57">
        <v>396570</v>
      </c>
      <c r="G11" s="56" t="s">
        <v>376</v>
      </c>
      <c r="H11" s="57">
        <v>396570</v>
      </c>
      <c r="I11" s="6" t="s">
        <v>377</v>
      </c>
      <c r="J11" s="6"/>
      <c r="K11" s="5" t="s">
        <v>378</v>
      </c>
      <c r="L11" s="53">
        <v>502.74</v>
      </c>
    </row>
    <row r="12" s="5" customFormat="true" customHeight="true" spans="2:12">
      <c r="B12" s="6" t="s">
        <v>353</v>
      </c>
      <c r="C12" s="56" t="s">
        <v>379</v>
      </c>
      <c r="D12" s="57">
        <v>339400</v>
      </c>
      <c r="E12" s="56" t="s">
        <v>375</v>
      </c>
      <c r="F12" s="57">
        <v>339400</v>
      </c>
      <c r="G12" s="56" t="s">
        <v>380</v>
      </c>
      <c r="H12" s="57">
        <v>339400</v>
      </c>
      <c r="I12" s="6" t="s">
        <v>377</v>
      </c>
      <c r="J12" s="6"/>
      <c r="K12" s="5" t="s">
        <v>381</v>
      </c>
      <c r="L12" s="53">
        <v>503.3</v>
      </c>
    </row>
    <row r="13" s="5" customFormat="true" customHeight="true" spans="2:12">
      <c r="B13" s="55" t="s">
        <v>362</v>
      </c>
      <c r="C13" s="56" t="s">
        <v>382</v>
      </c>
      <c r="D13" s="57">
        <v>80000</v>
      </c>
      <c r="E13" s="56" t="s">
        <v>375</v>
      </c>
      <c r="F13" s="57">
        <v>59600</v>
      </c>
      <c r="G13" s="56" t="s">
        <v>383</v>
      </c>
      <c r="H13" s="60">
        <v>80000</v>
      </c>
      <c r="I13" s="6"/>
      <c r="J13" s="6"/>
      <c r="K13" s="5" t="s">
        <v>381</v>
      </c>
      <c r="L13" s="53">
        <v>506.33</v>
      </c>
    </row>
    <row r="14" s="5" customFormat="true" customHeight="true" spans="2:12">
      <c r="B14" s="6"/>
      <c r="C14" s="56"/>
      <c r="D14" s="57"/>
      <c r="E14" s="56" t="s">
        <v>384</v>
      </c>
      <c r="F14" s="57">
        <v>20400</v>
      </c>
      <c r="G14" s="56"/>
      <c r="H14" s="60"/>
      <c r="I14" s="6"/>
      <c r="J14" s="6"/>
      <c r="K14" s="5" t="s">
        <v>355</v>
      </c>
      <c r="L14" s="53">
        <v>502.54</v>
      </c>
    </row>
    <row r="15" s="5" customFormat="true" customHeight="true" spans="2:12">
      <c r="B15" s="6" t="s">
        <v>385</v>
      </c>
      <c r="C15" s="56" t="s">
        <v>382</v>
      </c>
      <c r="D15" s="57">
        <v>80000</v>
      </c>
      <c r="E15" s="56" t="s">
        <v>375</v>
      </c>
      <c r="F15" s="57">
        <v>59600</v>
      </c>
      <c r="G15" s="56" t="s">
        <v>383</v>
      </c>
      <c r="H15" s="60">
        <v>80000</v>
      </c>
      <c r="I15" s="6" t="s">
        <v>386</v>
      </c>
      <c r="J15" s="6"/>
      <c r="K15" s="5" t="s">
        <v>387</v>
      </c>
      <c r="L15" s="53">
        <v>500.06</v>
      </c>
    </row>
    <row r="16" s="5" customFormat="true" customHeight="true" spans="2:12">
      <c r="B16" s="6"/>
      <c r="C16" s="56"/>
      <c r="D16" s="57"/>
      <c r="E16" s="56" t="s">
        <v>384</v>
      </c>
      <c r="F16" s="57">
        <v>20400</v>
      </c>
      <c r="G16" s="56"/>
      <c r="H16" s="60"/>
      <c r="I16" s="6"/>
      <c r="J16" s="6"/>
      <c r="K16" s="5" t="s">
        <v>388</v>
      </c>
      <c r="L16" s="53">
        <v>500.78</v>
      </c>
    </row>
    <row r="17" s="5" customFormat="true" customHeight="true" spans="2:12">
      <c r="B17" s="6" t="s">
        <v>389</v>
      </c>
      <c r="C17" s="5" t="s">
        <v>390</v>
      </c>
      <c r="D17" s="53">
        <v>400000</v>
      </c>
      <c r="E17" s="5" t="s">
        <v>391</v>
      </c>
      <c r="F17" s="53">
        <v>300000</v>
      </c>
      <c r="G17" s="5" t="s">
        <v>392</v>
      </c>
      <c r="H17" s="53">
        <v>300000</v>
      </c>
      <c r="I17" s="6"/>
      <c r="J17" s="6"/>
      <c r="K17" s="5" t="s">
        <v>393</v>
      </c>
      <c r="L17" s="53">
        <v>503.81</v>
      </c>
    </row>
    <row r="18" s="5" customFormat="true" customHeight="true" spans="2:12">
      <c r="B18" s="6" t="s">
        <v>389</v>
      </c>
      <c r="C18" s="5" t="s">
        <v>394</v>
      </c>
      <c r="D18" s="53">
        <v>1000000</v>
      </c>
      <c r="E18" s="5" t="s">
        <v>395</v>
      </c>
      <c r="F18" s="53">
        <v>350000</v>
      </c>
      <c r="G18" s="5" t="s">
        <v>396</v>
      </c>
      <c r="H18" s="61">
        <v>1000000</v>
      </c>
      <c r="I18" s="6"/>
      <c r="J18" s="6"/>
      <c r="K18" s="5" t="s">
        <v>393</v>
      </c>
      <c r="L18" s="53">
        <v>503.62</v>
      </c>
    </row>
    <row r="19" s="5" customFormat="true" customHeight="true" spans="2:12">
      <c r="B19" s="6"/>
      <c r="D19" s="53"/>
      <c r="E19" s="5" t="s">
        <v>397</v>
      </c>
      <c r="F19" s="53">
        <v>650000</v>
      </c>
      <c r="H19" s="61"/>
      <c r="I19" s="6"/>
      <c r="J19" s="6"/>
      <c r="K19" s="5" t="s">
        <v>398</v>
      </c>
      <c r="L19" s="53">
        <v>502.78</v>
      </c>
    </row>
    <row r="20" s="11" customFormat="true" customHeight="true" spans="1:12">
      <c r="A20" s="5"/>
      <c r="B20" s="6" t="s">
        <v>353</v>
      </c>
      <c r="C20" s="5" t="s">
        <v>399</v>
      </c>
      <c r="D20" s="53">
        <v>193770</v>
      </c>
      <c r="E20" s="5" t="s">
        <v>400</v>
      </c>
      <c r="F20" s="53">
        <v>193770</v>
      </c>
      <c r="G20" s="5" t="s">
        <v>401</v>
      </c>
      <c r="H20" s="53">
        <v>193770</v>
      </c>
      <c r="I20" s="6"/>
      <c r="J20" s="6"/>
      <c r="K20" s="5" t="s">
        <v>402</v>
      </c>
      <c r="L20" s="53">
        <v>500.92</v>
      </c>
    </row>
    <row r="21" s="5" customFormat="true" customHeight="true" spans="1:12">
      <c r="A21" s="11">
        <v>4</v>
      </c>
      <c r="B21" s="51"/>
      <c r="C21" s="11"/>
      <c r="D21" s="54">
        <f>D26+D27</f>
        <v>80000</v>
      </c>
      <c r="E21" s="11"/>
      <c r="F21" s="54">
        <f>F26+F27</f>
        <v>80000</v>
      </c>
      <c r="G21" s="54"/>
      <c r="H21" s="54">
        <f>SUM(H25:H38)</f>
        <v>94019.3</v>
      </c>
      <c r="I21" s="51"/>
      <c r="J21" s="51"/>
      <c r="K21" s="5" t="s">
        <v>402</v>
      </c>
      <c r="L21" s="53">
        <v>502.46</v>
      </c>
    </row>
    <row r="22" s="5" customFormat="true" customHeight="true" spans="2:12">
      <c r="B22" s="55" t="s">
        <v>362</v>
      </c>
      <c r="C22" s="58" t="s">
        <v>403</v>
      </c>
      <c r="D22" s="59">
        <v>160000</v>
      </c>
      <c r="E22" s="58" t="s">
        <v>404</v>
      </c>
      <c r="F22" s="62">
        <v>237810</v>
      </c>
      <c r="G22" s="58" t="s">
        <v>405</v>
      </c>
      <c r="H22" s="59">
        <v>160000</v>
      </c>
      <c r="I22" s="6" t="s">
        <v>406</v>
      </c>
      <c r="J22" s="6"/>
      <c r="K22" s="5" t="s">
        <v>407</v>
      </c>
      <c r="L22" s="53">
        <v>501.59</v>
      </c>
    </row>
    <row r="23" s="5" customFormat="true" customHeight="true" spans="2:12">
      <c r="B23" s="6" t="s">
        <v>408</v>
      </c>
      <c r="C23" s="58" t="s">
        <v>403</v>
      </c>
      <c r="D23" s="59">
        <v>48000</v>
      </c>
      <c r="E23" s="58"/>
      <c r="F23" s="62"/>
      <c r="G23" s="58" t="s">
        <v>405</v>
      </c>
      <c r="H23" s="59">
        <v>48000</v>
      </c>
      <c r="I23" s="6" t="s">
        <v>406</v>
      </c>
      <c r="J23" s="6"/>
      <c r="K23" s="5" t="s">
        <v>409</v>
      </c>
      <c r="L23" s="53">
        <v>500.11</v>
      </c>
    </row>
    <row r="24" s="5" customFormat="true" customHeight="true" spans="2:12">
      <c r="B24" s="6" t="s">
        <v>353</v>
      </c>
      <c r="C24" s="58" t="s">
        <v>410</v>
      </c>
      <c r="D24" s="59">
        <v>182460</v>
      </c>
      <c r="E24" s="58" t="s">
        <v>411</v>
      </c>
      <c r="F24" s="59">
        <v>182460</v>
      </c>
      <c r="G24" s="58" t="s">
        <v>412</v>
      </c>
      <c r="H24" s="59">
        <v>80000</v>
      </c>
      <c r="I24" s="6" t="s">
        <v>413</v>
      </c>
      <c r="J24" s="6"/>
      <c r="K24" s="5" t="s">
        <v>409</v>
      </c>
      <c r="L24" s="53">
        <v>505.82</v>
      </c>
    </row>
    <row r="25" s="5" customFormat="true" customHeight="true" spans="2:12">
      <c r="B25" s="6" t="s">
        <v>414</v>
      </c>
      <c r="C25" s="58" t="s">
        <v>415</v>
      </c>
      <c r="D25" s="59">
        <v>30000</v>
      </c>
      <c r="E25" s="58" t="s">
        <v>416</v>
      </c>
      <c r="F25" s="59">
        <v>30000</v>
      </c>
      <c r="G25" s="5" t="s">
        <v>417</v>
      </c>
      <c r="H25" s="53">
        <v>5580</v>
      </c>
      <c r="I25" s="6" t="s">
        <v>406</v>
      </c>
      <c r="J25" s="6"/>
      <c r="K25" s="5" t="s">
        <v>418</v>
      </c>
      <c r="L25" s="53">
        <v>502.16</v>
      </c>
    </row>
    <row r="26" s="5" customFormat="true" customHeight="true" spans="2:12">
      <c r="B26" s="6" t="s">
        <v>414</v>
      </c>
      <c r="C26" s="5" t="s">
        <v>397</v>
      </c>
      <c r="D26" s="53">
        <v>50000</v>
      </c>
      <c r="E26" s="5" t="s">
        <v>419</v>
      </c>
      <c r="F26" s="53">
        <v>50000</v>
      </c>
      <c r="G26" s="5" t="s">
        <v>417</v>
      </c>
      <c r="H26" s="53">
        <v>5556.96</v>
      </c>
      <c r="I26" s="6"/>
      <c r="J26" s="6"/>
      <c r="K26" s="5" t="s">
        <v>420</v>
      </c>
      <c r="L26" s="53">
        <v>500.82</v>
      </c>
    </row>
    <row r="27" s="5" customFormat="true" customHeight="true" spans="2:12">
      <c r="B27" s="6" t="s">
        <v>414</v>
      </c>
      <c r="C27" s="5" t="s">
        <v>421</v>
      </c>
      <c r="D27" s="53">
        <v>30000</v>
      </c>
      <c r="E27" s="5" t="s">
        <v>391</v>
      </c>
      <c r="F27" s="53">
        <v>30000</v>
      </c>
      <c r="G27" s="5" t="s">
        <v>417</v>
      </c>
      <c r="H27" s="53">
        <v>6856.7</v>
      </c>
      <c r="I27" s="6"/>
      <c r="J27" s="6"/>
      <c r="K27" s="5" t="s">
        <v>422</v>
      </c>
      <c r="L27" s="53">
        <v>502.19</v>
      </c>
    </row>
    <row r="28" s="5" customFormat="true" customHeight="true" spans="2:12">
      <c r="B28" s="6"/>
      <c r="D28" s="53"/>
      <c r="F28" s="53"/>
      <c r="G28" s="5" t="s">
        <v>417</v>
      </c>
      <c r="H28" s="53">
        <v>5556.96</v>
      </c>
      <c r="I28" s="6"/>
      <c r="J28" s="6"/>
      <c r="K28" s="5" t="s">
        <v>422</v>
      </c>
      <c r="L28" s="53">
        <v>501.39</v>
      </c>
    </row>
    <row r="29" s="5" customFormat="true" customHeight="true" spans="2:12">
      <c r="B29" s="6"/>
      <c r="D29" s="53"/>
      <c r="F29" s="53"/>
      <c r="G29" s="5" t="s">
        <v>417</v>
      </c>
      <c r="H29" s="53">
        <v>5220</v>
      </c>
      <c r="I29" s="6"/>
      <c r="J29" s="6"/>
      <c r="K29" s="5" t="s">
        <v>423</v>
      </c>
      <c r="L29" s="53">
        <v>503.35</v>
      </c>
    </row>
    <row r="30" s="5" customFormat="true" customHeight="true" spans="2:12">
      <c r="B30" s="6"/>
      <c r="D30" s="53"/>
      <c r="F30" s="53"/>
      <c r="G30" s="5" t="s">
        <v>424</v>
      </c>
      <c r="H30" s="53">
        <v>8713.89</v>
      </c>
      <c r="I30" s="6"/>
      <c r="J30" s="6"/>
      <c r="K30" s="5" t="s">
        <v>425</v>
      </c>
      <c r="L30" s="53">
        <v>502.21</v>
      </c>
    </row>
    <row r="31" s="5" customFormat="true" customHeight="true" spans="2:12">
      <c r="B31" s="6"/>
      <c r="D31" s="53"/>
      <c r="F31" s="53"/>
      <c r="G31" s="5" t="s">
        <v>417</v>
      </c>
      <c r="H31" s="53">
        <v>9648.9</v>
      </c>
      <c r="I31" s="6"/>
      <c r="J31" s="6"/>
      <c r="K31" s="5" t="s">
        <v>425</v>
      </c>
      <c r="L31" s="53">
        <v>501.85</v>
      </c>
    </row>
    <row r="32" s="5" customFormat="true" customHeight="true" spans="2:12">
      <c r="B32" s="6"/>
      <c r="D32" s="53"/>
      <c r="F32" s="53"/>
      <c r="G32" s="5" t="s">
        <v>424</v>
      </c>
      <c r="H32" s="53">
        <v>7540</v>
      </c>
      <c r="I32" s="6"/>
      <c r="J32" s="6"/>
      <c r="K32" s="5" t="s">
        <v>426</v>
      </c>
      <c r="L32" s="53">
        <v>500.22</v>
      </c>
    </row>
    <row r="33" s="5" customFormat="true" customHeight="true" spans="2:12">
      <c r="B33" s="6"/>
      <c r="D33" s="53"/>
      <c r="F33" s="53"/>
      <c r="G33" s="5" t="s">
        <v>427</v>
      </c>
      <c r="H33" s="53">
        <v>8255.1</v>
      </c>
      <c r="I33" s="6"/>
      <c r="J33" s="6"/>
      <c r="K33" s="5" t="s">
        <v>428</v>
      </c>
      <c r="L33" s="53">
        <v>500.99</v>
      </c>
    </row>
    <row r="34" s="5" customFormat="true" customHeight="true" spans="2:12">
      <c r="B34" s="6"/>
      <c r="D34" s="53"/>
      <c r="F34" s="53"/>
      <c r="G34" s="5" t="s">
        <v>427</v>
      </c>
      <c r="H34" s="53">
        <v>6349.99</v>
      </c>
      <c r="I34" s="6"/>
      <c r="J34" s="6"/>
      <c r="K34" s="5" t="s">
        <v>428</v>
      </c>
      <c r="L34" s="53">
        <v>500.36</v>
      </c>
    </row>
    <row r="35" s="5" customFormat="true" customHeight="true" spans="2:12">
      <c r="B35" s="6"/>
      <c r="D35" s="53"/>
      <c r="F35" s="53"/>
      <c r="G35" s="5" t="s">
        <v>429</v>
      </c>
      <c r="H35" s="53">
        <v>5202.77</v>
      </c>
      <c r="I35" s="6"/>
      <c r="J35" s="6"/>
      <c r="K35" s="5" t="s">
        <v>430</v>
      </c>
      <c r="L35" s="53">
        <v>500.38</v>
      </c>
    </row>
    <row r="36" s="5" customFormat="true" customHeight="true" spans="2:12">
      <c r="B36" s="6"/>
      <c r="D36" s="53"/>
      <c r="F36" s="53"/>
      <c r="G36" s="5" t="s">
        <v>429</v>
      </c>
      <c r="H36" s="53">
        <v>5915.76</v>
      </c>
      <c r="I36" s="6"/>
      <c r="J36" s="6"/>
      <c r="K36" s="5" t="s">
        <v>431</v>
      </c>
      <c r="L36" s="53">
        <v>504.59</v>
      </c>
    </row>
    <row r="37" s="5" customFormat="true" customHeight="true" spans="2:12">
      <c r="B37" s="6"/>
      <c r="D37" s="53"/>
      <c r="F37" s="53"/>
      <c r="G37" s="5" t="s">
        <v>432</v>
      </c>
      <c r="H37" s="53">
        <v>6051.57</v>
      </c>
      <c r="I37" s="6"/>
      <c r="J37" s="6"/>
      <c r="K37" s="5" t="s">
        <v>433</v>
      </c>
      <c r="L37" s="53">
        <v>502.89</v>
      </c>
    </row>
    <row r="38" s="11" customFormat="true" customHeight="true" spans="1:12">
      <c r="A38" s="5"/>
      <c r="B38" s="6"/>
      <c r="C38" s="5"/>
      <c r="D38" s="53"/>
      <c r="E38" s="5"/>
      <c r="F38" s="53"/>
      <c r="G38" s="5" t="s">
        <v>432</v>
      </c>
      <c r="H38" s="53">
        <v>7570.7</v>
      </c>
      <c r="I38" s="6"/>
      <c r="J38" s="6"/>
      <c r="K38" s="5" t="s">
        <v>434</v>
      </c>
      <c r="L38" s="53">
        <v>474.1</v>
      </c>
    </row>
    <row r="39" s="5" customFormat="true" customHeight="true" spans="1:12">
      <c r="A39" s="11">
        <v>5</v>
      </c>
      <c r="B39" s="51"/>
      <c r="C39" s="11"/>
      <c r="D39" s="54">
        <f>D40</f>
        <v>80000</v>
      </c>
      <c r="E39" s="54"/>
      <c r="F39" s="54">
        <f>F40</f>
        <v>90000</v>
      </c>
      <c r="G39" s="54"/>
      <c r="H39" s="54">
        <f t="shared" ref="H39" si="3">H40</f>
        <v>80000</v>
      </c>
      <c r="I39" s="51"/>
      <c r="J39" s="51"/>
      <c r="K39" s="5" t="s">
        <v>434</v>
      </c>
      <c r="L39" s="53">
        <v>501.01</v>
      </c>
    </row>
    <row r="40" s="11" customFormat="true" customHeight="true" spans="1:12">
      <c r="A40" s="5"/>
      <c r="B40" s="55" t="s">
        <v>362</v>
      </c>
      <c r="C40" s="5" t="s">
        <v>435</v>
      </c>
      <c r="D40" s="53">
        <v>80000</v>
      </c>
      <c r="E40" s="5" t="s">
        <v>436</v>
      </c>
      <c r="F40" s="53">
        <v>90000</v>
      </c>
      <c r="G40" s="5" t="s">
        <v>437</v>
      </c>
      <c r="H40" s="53">
        <v>80000</v>
      </c>
      <c r="I40" s="6"/>
      <c r="J40" s="6"/>
      <c r="K40" s="5" t="s">
        <v>438</v>
      </c>
      <c r="L40" s="53">
        <v>502.51</v>
      </c>
    </row>
    <row r="41" s="5" customFormat="true" customHeight="true" spans="1:12">
      <c r="A41" s="11">
        <v>6</v>
      </c>
      <c r="B41" s="51"/>
      <c r="C41" s="11"/>
      <c r="D41" s="54">
        <f>D48+D46</f>
        <v>170000</v>
      </c>
      <c r="E41" s="54"/>
      <c r="F41" s="54">
        <f>F48+F46</f>
        <v>150000</v>
      </c>
      <c r="G41" s="54"/>
      <c r="H41" s="54">
        <f>10000+H46</f>
        <v>95587.95</v>
      </c>
      <c r="I41" s="51"/>
      <c r="J41" s="51"/>
      <c r="K41" s="5" t="s">
        <v>439</v>
      </c>
      <c r="L41" s="53">
        <v>501.46</v>
      </c>
    </row>
    <row r="42" s="5" customFormat="true" customHeight="true" spans="2:12">
      <c r="B42" s="6" t="s">
        <v>440</v>
      </c>
      <c r="C42" s="58" t="s">
        <v>441</v>
      </c>
      <c r="D42" s="59">
        <v>4680</v>
      </c>
      <c r="E42" s="58" t="s">
        <v>388</v>
      </c>
      <c r="F42" s="59">
        <v>4680</v>
      </c>
      <c r="G42" s="58" t="s">
        <v>407</v>
      </c>
      <c r="H42" s="59">
        <v>4680</v>
      </c>
      <c r="I42" s="55" t="s">
        <v>442</v>
      </c>
      <c r="J42" s="6"/>
      <c r="K42" s="5" t="s">
        <v>439</v>
      </c>
      <c r="L42" s="53">
        <v>506.19</v>
      </c>
    </row>
    <row r="43" s="5" customFormat="true" customHeight="true" spans="2:12">
      <c r="B43" s="55" t="s">
        <v>362</v>
      </c>
      <c r="C43" s="58" t="s">
        <v>443</v>
      </c>
      <c r="D43" s="59">
        <v>80000</v>
      </c>
      <c r="F43" s="53"/>
      <c r="H43" s="53"/>
      <c r="I43" s="6" t="s">
        <v>444</v>
      </c>
      <c r="J43" s="6"/>
      <c r="K43" s="5" t="s">
        <v>445</v>
      </c>
      <c r="L43" s="53">
        <v>504.09</v>
      </c>
    </row>
    <row r="44" s="5" customFormat="true" customHeight="true" spans="2:12">
      <c r="B44" s="6" t="s">
        <v>353</v>
      </c>
      <c r="C44" s="58" t="s">
        <v>446</v>
      </c>
      <c r="D44" s="59">
        <v>100740</v>
      </c>
      <c r="F44" s="53"/>
      <c r="H44" s="53"/>
      <c r="I44" s="6" t="s">
        <v>447</v>
      </c>
      <c r="J44" s="6"/>
      <c r="K44" s="5" t="s">
        <v>448</v>
      </c>
      <c r="L44" s="53">
        <v>502.53</v>
      </c>
    </row>
    <row r="45" s="5" customFormat="true" customHeight="true" spans="2:12">
      <c r="B45" s="6" t="s">
        <v>449</v>
      </c>
      <c r="C45" s="58" t="s">
        <v>450</v>
      </c>
      <c r="D45" s="59">
        <v>29800</v>
      </c>
      <c r="F45" s="53"/>
      <c r="G45" s="58" t="s">
        <v>451</v>
      </c>
      <c r="H45" s="59">
        <v>29800</v>
      </c>
      <c r="I45" s="6" t="s">
        <v>452</v>
      </c>
      <c r="J45" s="6"/>
      <c r="K45" s="5" t="s">
        <v>453</v>
      </c>
      <c r="L45" s="53">
        <v>500.04</v>
      </c>
    </row>
    <row r="46" s="5" customFormat="true" customHeight="true" spans="2:12">
      <c r="B46" s="55" t="s">
        <v>362</v>
      </c>
      <c r="C46" s="5" t="s">
        <v>454</v>
      </c>
      <c r="D46" s="53">
        <v>160000</v>
      </c>
      <c r="E46" s="5" t="s">
        <v>455</v>
      </c>
      <c r="F46" s="53">
        <v>140000</v>
      </c>
      <c r="G46" s="5" t="s">
        <v>456</v>
      </c>
      <c r="H46" s="53">
        <v>85587.95</v>
      </c>
      <c r="I46" s="55"/>
      <c r="J46" s="6"/>
      <c r="K46" s="5" t="s">
        <v>457</v>
      </c>
      <c r="L46" s="53">
        <v>503.1</v>
      </c>
    </row>
    <row r="47" s="5" customFormat="true" customHeight="true" spans="2:12">
      <c r="B47" s="6" t="s">
        <v>414</v>
      </c>
      <c r="C47" s="58" t="s">
        <v>458</v>
      </c>
      <c r="D47" s="59">
        <v>10000</v>
      </c>
      <c r="F47" s="53"/>
      <c r="G47" s="5" t="s">
        <v>459</v>
      </c>
      <c r="H47" s="53">
        <v>6688</v>
      </c>
      <c r="I47" s="6" t="s">
        <v>460</v>
      </c>
      <c r="J47" s="6"/>
      <c r="K47" s="5" t="s">
        <v>461</v>
      </c>
      <c r="L47" s="53">
        <v>500.83</v>
      </c>
    </row>
    <row r="48" s="5" customFormat="true" customHeight="true" spans="2:12">
      <c r="B48" s="6" t="s">
        <v>414</v>
      </c>
      <c r="C48" s="5" t="s">
        <v>462</v>
      </c>
      <c r="D48" s="53">
        <v>10000</v>
      </c>
      <c r="E48" s="5" t="s">
        <v>462</v>
      </c>
      <c r="F48" s="53">
        <v>10000</v>
      </c>
      <c r="G48" s="5" t="s">
        <v>459</v>
      </c>
      <c r="H48" s="53">
        <v>6688</v>
      </c>
      <c r="I48" s="6" t="s">
        <v>463</v>
      </c>
      <c r="J48" s="6"/>
      <c r="K48" s="5" t="s">
        <v>464</v>
      </c>
      <c r="L48" s="53">
        <v>500.95</v>
      </c>
    </row>
    <row r="49" s="5" customFormat="true" customHeight="true" spans="2:12">
      <c r="B49" s="6" t="s">
        <v>414</v>
      </c>
      <c r="C49" s="58" t="s">
        <v>465</v>
      </c>
      <c r="D49" s="59">
        <v>10000</v>
      </c>
      <c r="F49" s="53"/>
      <c r="G49" s="5" t="s">
        <v>451</v>
      </c>
      <c r="H49" s="53">
        <v>1217.3</v>
      </c>
      <c r="I49" s="6" t="s">
        <v>466</v>
      </c>
      <c r="J49" s="6"/>
      <c r="K49" s="5" t="s">
        <v>467</v>
      </c>
      <c r="L49" s="53">
        <v>501.14</v>
      </c>
    </row>
    <row r="50" s="5" customFormat="true" customHeight="true" spans="2:12">
      <c r="B50" s="6"/>
      <c r="D50" s="53"/>
      <c r="F50" s="53"/>
      <c r="G50" s="5" t="s">
        <v>451</v>
      </c>
      <c r="H50" s="53">
        <v>1815.43</v>
      </c>
      <c r="I50" s="6" t="s">
        <v>468</v>
      </c>
      <c r="J50" s="6"/>
      <c r="K50" s="5" t="s">
        <v>467</v>
      </c>
      <c r="L50" s="53">
        <v>500.18</v>
      </c>
    </row>
    <row r="51" s="5" customFormat="true" customHeight="true" spans="2:12">
      <c r="B51" s="6"/>
      <c r="D51" s="53"/>
      <c r="F51" s="53"/>
      <c r="G51" s="5" t="s">
        <v>456</v>
      </c>
      <c r="H51" s="53">
        <v>181.6</v>
      </c>
      <c r="I51" s="6" t="s">
        <v>469</v>
      </c>
      <c r="J51" s="6"/>
      <c r="K51" s="5" t="s">
        <v>356</v>
      </c>
      <c r="L51" s="53">
        <v>501.71</v>
      </c>
    </row>
    <row r="52" s="5" customFormat="true" customHeight="true" spans="2:12">
      <c r="B52" s="6"/>
      <c r="D52" s="53"/>
      <c r="F52" s="53"/>
      <c r="G52" s="5" t="s">
        <v>456</v>
      </c>
      <c r="H52" s="53">
        <v>1498.88</v>
      </c>
      <c r="I52" s="6" t="s">
        <v>470</v>
      </c>
      <c r="J52" s="6"/>
      <c r="K52" s="5" t="s">
        <v>471</v>
      </c>
      <c r="L52" s="53">
        <v>500.93</v>
      </c>
    </row>
    <row r="53" s="5" customFormat="true" customHeight="true" spans="2:12">
      <c r="B53" s="6"/>
      <c r="D53" s="53"/>
      <c r="F53" s="53"/>
      <c r="G53" s="5" t="s">
        <v>456</v>
      </c>
      <c r="H53" s="53">
        <v>2679.52</v>
      </c>
      <c r="I53" s="6" t="s">
        <v>472</v>
      </c>
      <c r="J53" s="6"/>
      <c r="K53" s="5" t="s">
        <v>473</v>
      </c>
      <c r="L53" s="53">
        <v>500.72</v>
      </c>
    </row>
    <row r="54" s="5" customFormat="true" customHeight="true" spans="2:12">
      <c r="B54" s="6"/>
      <c r="D54" s="53"/>
      <c r="F54" s="53"/>
      <c r="G54" s="5" t="s">
        <v>456</v>
      </c>
      <c r="H54" s="53">
        <v>656.01</v>
      </c>
      <c r="I54" s="6" t="s">
        <v>474</v>
      </c>
      <c r="J54" s="6"/>
      <c r="K54" s="5" t="s">
        <v>475</v>
      </c>
      <c r="L54" s="53">
        <v>500.39</v>
      </c>
    </row>
    <row r="55" s="5" customFormat="true" customHeight="true" spans="2:12">
      <c r="B55" s="6"/>
      <c r="D55" s="53"/>
      <c r="F55" s="53"/>
      <c r="G55" s="5" t="s">
        <v>456</v>
      </c>
      <c r="H55" s="53">
        <v>1610</v>
      </c>
      <c r="I55" s="6" t="s">
        <v>476</v>
      </c>
      <c r="J55" s="6"/>
      <c r="K55" s="5" t="s">
        <v>477</v>
      </c>
      <c r="L55" s="53">
        <v>502.08</v>
      </c>
    </row>
    <row r="56" s="5" customFormat="true" customHeight="true" spans="2:12">
      <c r="B56" s="6"/>
      <c r="D56" s="53"/>
      <c r="F56" s="53"/>
      <c r="G56" s="5" t="s">
        <v>456</v>
      </c>
      <c r="H56" s="53">
        <v>2457.38</v>
      </c>
      <c r="I56" s="6" t="s">
        <v>478</v>
      </c>
      <c r="J56" s="6"/>
      <c r="K56" s="5" t="s">
        <v>479</v>
      </c>
      <c r="L56" s="53">
        <v>500.56</v>
      </c>
    </row>
    <row r="57" s="11" customFormat="true" customHeight="true" spans="1:12">
      <c r="A57" s="5"/>
      <c r="B57" s="6"/>
      <c r="C57" s="5"/>
      <c r="D57" s="53"/>
      <c r="E57" s="5"/>
      <c r="F57" s="53"/>
      <c r="G57" s="5" t="s">
        <v>456</v>
      </c>
      <c r="H57" s="53">
        <v>1550</v>
      </c>
      <c r="I57" s="6" t="s">
        <v>480</v>
      </c>
      <c r="J57" s="6"/>
      <c r="K57" s="5" t="s">
        <v>479</v>
      </c>
      <c r="L57" s="53">
        <v>500.2</v>
      </c>
    </row>
    <row r="58" s="5" customFormat="true" customHeight="true" spans="2:12">
      <c r="B58" s="6"/>
      <c r="D58" s="53"/>
      <c r="F58" s="53"/>
      <c r="G58" s="5" t="s">
        <v>456</v>
      </c>
      <c r="H58" s="53">
        <v>2480</v>
      </c>
      <c r="I58" s="6" t="s">
        <v>481</v>
      </c>
      <c r="J58" s="51"/>
      <c r="K58" s="5" t="s">
        <v>482</v>
      </c>
      <c r="L58" s="53">
        <v>501.54</v>
      </c>
    </row>
    <row r="59" s="5" customFormat="true" customHeight="true" spans="1:12">
      <c r="A59" s="11">
        <v>7</v>
      </c>
      <c r="B59" s="51"/>
      <c r="C59" s="11"/>
      <c r="D59" s="54">
        <f>SUM(D60:D66)</f>
        <v>101600</v>
      </c>
      <c r="E59" s="54"/>
      <c r="F59" s="54">
        <f t="shared" ref="F59:H59" si="4">SUM(F60:F66)</f>
        <v>101600</v>
      </c>
      <c r="G59" s="54"/>
      <c r="H59" s="54">
        <f t="shared" si="4"/>
        <v>101600</v>
      </c>
      <c r="I59" s="51"/>
      <c r="J59" s="6"/>
      <c r="K59" s="5" t="s">
        <v>483</v>
      </c>
      <c r="L59" s="53">
        <v>505.34</v>
      </c>
    </row>
    <row r="60" s="5" customFormat="true" customHeight="true" spans="2:12">
      <c r="B60" s="6" t="s">
        <v>484</v>
      </c>
      <c r="C60" s="5" t="s">
        <v>485</v>
      </c>
      <c r="D60" s="53">
        <v>39800</v>
      </c>
      <c r="E60" s="5" t="s">
        <v>486</v>
      </c>
      <c r="F60" s="53">
        <v>10000</v>
      </c>
      <c r="G60" s="5" t="s">
        <v>487</v>
      </c>
      <c r="H60" s="53">
        <v>39800</v>
      </c>
      <c r="I60" s="6"/>
      <c r="J60" s="6"/>
      <c r="K60" s="5" t="s">
        <v>488</v>
      </c>
      <c r="L60" s="53">
        <v>506.34</v>
      </c>
    </row>
    <row r="61" s="5" customFormat="true" customHeight="true" spans="2:12">
      <c r="B61" s="6"/>
      <c r="D61" s="53"/>
      <c r="E61" s="5" t="s">
        <v>489</v>
      </c>
      <c r="F61" s="53">
        <v>29800</v>
      </c>
      <c r="H61" s="53"/>
      <c r="I61" s="6"/>
      <c r="J61" s="6"/>
      <c r="K61" s="5" t="s">
        <v>465</v>
      </c>
      <c r="L61" s="53">
        <v>500.13</v>
      </c>
    </row>
    <row r="62" s="5" customFormat="true" customHeight="true" spans="2:12">
      <c r="B62" s="55" t="s">
        <v>362</v>
      </c>
      <c r="C62" s="5" t="s">
        <v>490</v>
      </c>
      <c r="D62" s="53">
        <v>29800</v>
      </c>
      <c r="E62" s="5" t="s">
        <v>491</v>
      </c>
      <c r="F62" s="61">
        <v>48800</v>
      </c>
      <c r="G62" s="5" t="s">
        <v>492</v>
      </c>
      <c r="H62" s="53">
        <v>29800</v>
      </c>
      <c r="I62" s="6"/>
      <c r="J62" s="6"/>
      <c r="K62" s="5" t="s">
        <v>493</v>
      </c>
      <c r="L62" s="53">
        <v>502.97</v>
      </c>
    </row>
    <row r="63" s="5" customFormat="true" customHeight="true" spans="2:12">
      <c r="B63" s="6" t="s">
        <v>408</v>
      </c>
      <c r="C63" s="5" t="s">
        <v>490</v>
      </c>
      <c r="D63" s="53">
        <v>9000</v>
      </c>
      <c r="F63" s="61"/>
      <c r="G63" s="5" t="s">
        <v>494</v>
      </c>
      <c r="H63" s="53">
        <v>9000</v>
      </c>
      <c r="I63" s="6"/>
      <c r="J63" s="6"/>
      <c r="K63" s="5" t="s">
        <v>495</v>
      </c>
      <c r="L63" s="53">
        <v>502.45</v>
      </c>
    </row>
    <row r="64" s="11" customFormat="true" customHeight="true" spans="1:12">
      <c r="A64" s="5"/>
      <c r="B64" s="6" t="s">
        <v>414</v>
      </c>
      <c r="C64" s="5" t="s">
        <v>496</v>
      </c>
      <c r="D64" s="53">
        <v>10000</v>
      </c>
      <c r="E64" s="5"/>
      <c r="F64" s="61"/>
      <c r="G64" s="5" t="s">
        <v>497</v>
      </c>
      <c r="H64" s="61">
        <v>13000</v>
      </c>
      <c r="I64" s="6" t="s">
        <v>498</v>
      </c>
      <c r="J64" s="6"/>
      <c r="K64" s="5" t="s">
        <v>495</v>
      </c>
      <c r="L64" s="53">
        <v>501.88</v>
      </c>
    </row>
    <row r="65" s="5" customFormat="true" customHeight="true" spans="2:12">
      <c r="B65" s="6" t="s">
        <v>414</v>
      </c>
      <c r="C65" s="5" t="s">
        <v>499</v>
      </c>
      <c r="D65" s="53">
        <v>3000</v>
      </c>
      <c r="E65" s="5" t="s">
        <v>499</v>
      </c>
      <c r="F65" s="53">
        <v>3000</v>
      </c>
      <c r="H65" s="61"/>
      <c r="I65" s="6"/>
      <c r="J65" s="51"/>
      <c r="K65" s="5" t="s">
        <v>500</v>
      </c>
      <c r="L65" s="53">
        <v>504.95</v>
      </c>
    </row>
    <row r="66" s="5" customFormat="true" customHeight="true" spans="2:12">
      <c r="B66" s="55" t="s">
        <v>501</v>
      </c>
      <c r="C66" s="5" t="s">
        <v>502</v>
      </c>
      <c r="D66" s="53">
        <v>10000</v>
      </c>
      <c r="E66" s="5" t="s">
        <v>503</v>
      </c>
      <c r="F66" s="53">
        <v>10000</v>
      </c>
      <c r="G66" s="5" t="s">
        <v>504</v>
      </c>
      <c r="H66" s="53">
        <v>10000</v>
      </c>
      <c r="I66" s="6" t="s">
        <v>505</v>
      </c>
      <c r="J66" s="6"/>
      <c r="K66" s="5" t="s">
        <v>506</v>
      </c>
      <c r="L66" s="53">
        <v>500.42</v>
      </c>
    </row>
    <row r="67" s="5" customFormat="true" customHeight="true" spans="1:12">
      <c r="A67" s="11">
        <v>8</v>
      </c>
      <c r="B67" s="51"/>
      <c r="C67" s="11"/>
      <c r="D67" s="54">
        <f>SUM(D68:D69)</f>
        <v>178000</v>
      </c>
      <c r="E67" s="54"/>
      <c r="F67" s="54">
        <f t="shared" ref="F67" si="5">SUM(F68:F69)</f>
        <v>158240.77</v>
      </c>
      <c r="G67" s="54"/>
      <c r="H67" s="54">
        <f>SUM(H68:H69)</f>
        <v>148240.77</v>
      </c>
      <c r="I67" s="51"/>
      <c r="J67" s="6"/>
      <c r="K67" s="5" t="s">
        <v>507</v>
      </c>
      <c r="L67" s="53">
        <v>500.1</v>
      </c>
    </row>
    <row r="68" s="5" customFormat="true" customHeight="true" spans="2:12">
      <c r="B68" s="6" t="s">
        <v>408</v>
      </c>
      <c r="C68" s="5" t="s">
        <v>508</v>
      </c>
      <c r="D68" s="53">
        <v>18000</v>
      </c>
      <c r="E68" s="5" t="s">
        <v>494</v>
      </c>
      <c r="F68" s="53">
        <v>18000</v>
      </c>
      <c r="G68" s="5" t="s">
        <v>492</v>
      </c>
      <c r="H68" s="53">
        <v>18000</v>
      </c>
      <c r="I68" s="55"/>
      <c r="J68" s="6"/>
      <c r="K68" s="5" t="s">
        <v>509</v>
      </c>
      <c r="L68" s="53">
        <v>502.77</v>
      </c>
    </row>
    <row r="69" s="5" customFormat="true" customHeight="true" spans="2:12">
      <c r="B69" s="55" t="s">
        <v>362</v>
      </c>
      <c r="C69" s="5" t="s">
        <v>510</v>
      </c>
      <c r="D69" s="53">
        <v>160000</v>
      </c>
      <c r="E69" s="5" t="s">
        <v>511</v>
      </c>
      <c r="F69" s="53">
        <v>140240.77</v>
      </c>
      <c r="G69" s="5" t="s">
        <v>512</v>
      </c>
      <c r="H69" s="53">
        <v>130240.77</v>
      </c>
      <c r="I69" s="6"/>
      <c r="J69" s="6"/>
      <c r="K69" s="5" t="s">
        <v>513</v>
      </c>
      <c r="L69" s="53">
        <v>501.83</v>
      </c>
    </row>
    <row r="70" s="5" customFormat="true" customHeight="true" spans="2:12">
      <c r="B70" s="6"/>
      <c r="D70" s="53"/>
      <c r="F70" s="53"/>
      <c r="G70" s="58" t="s">
        <v>514</v>
      </c>
      <c r="H70" s="59">
        <v>59600</v>
      </c>
      <c r="I70" s="55" t="s">
        <v>515</v>
      </c>
      <c r="J70" s="6"/>
      <c r="K70" s="5" t="s">
        <v>516</v>
      </c>
      <c r="L70" s="53">
        <v>500.9</v>
      </c>
    </row>
    <row r="71" s="5" customFormat="true" customHeight="true" spans="2:12">
      <c r="B71" s="6" t="s">
        <v>414</v>
      </c>
      <c r="C71" s="63" t="s">
        <v>407</v>
      </c>
      <c r="D71" s="64">
        <v>10000</v>
      </c>
      <c r="E71" s="63" t="s">
        <v>517</v>
      </c>
      <c r="F71" s="64">
        <v>10000</v>
      </c>
      <c r="G71" s="58" t="s">
        <v>518</v>
      </c>
      <c r="H71" s="59">
        <v>26671.52</v>
      </c>
      <c r="I71" s="55"/>
      <c r="J71" s="6"/>
      <c r="K71" s="5" t="s">
        <v>519</v>
      </c>
      <c r="L71" s="53">
        <v>500.76</v>
      </c>
    </row>
    <row r="72" s="5" customFormat="true" customHeight="true" spans="2:12">
      <c r="B72" s="6"/>
      <c r="D72" s="53"/>
      <c r="E72" s="63" t="s">
        <v>517</v>
      </c>
      <c r="F72" s="64">
        <v>2888</v>
      </c>
      <c r="G72" s="65" t="s">
        <v>520</v>
      </c>
      <c r="H72" s="59">
        <v>16468.01</v>
      </c>
      <c r="I72" s="6"/>
      <c r="J72" s="6"/>
      <c r="K72" s="5" t="s">
        <v>521</v>
      </c>
      <c r="L72" s="53">
        <v>503.04</v>
      </c>
    </row>
    <row r="73" s="5" customFormat="true" customHeight="true" spans="2:12">
      <c r="B73" s="6"/>
      <c r="D73" s="53"/>
      <c r="E73" s="66" t="s">
        <v>522</v>
      </c>
      <c r="F73" s="64">
        <v>10000</v>
      </c>
      <c r="G73" s="58" t="s">
        <v>523</v>
      </c>
      <c r="H73" s="59">
        <v>2501.11</v>
      </c>
      <c r="I73" s="6"/>
      <c r="J73" s="6"/>
      <c r="L73" s="53"/>
    </row>
    <row r="74" s="5" customFormat="true" customHeight="true" spans="2:12">
      <c r="B74" s="6"/>
      <c r="D74" s="53"/>
      <c r="F74" s="53"/>
      <c r="G74" s="58">
        <v>2021.6</v>
      </c>
      <c r="H74" s="59">
        <v>3622.4</v>
      </c>
      <c r="I74" s="6"/>
      <c r="J74" s="6"/>
      <c r="L74" s="53"/>
    </row>
    <row r="75" s="5" customFormat="true" customHeight="true" spans="2:12">
      <c r="B75" s="6"/>
      <c r="D75" s="53"/>
      <c r="F75" s="53"/>
      <c r="G75" s="56">
        <v>2021.6</v>
      </c>
      <c r="H75" s="57">
        <v>4105.9</v>
      </c>
      <c r="I75" s="6"/>
      <c r="J75" s="6"/>
      <c r="L75" s="53"/>
    </row>
    <row r="76" s="5" customFormat="true" customHeight="true" spans="2:12">
      <c r="B76" s="6"/>
      <c r="D76" s="53"/>
      <c r="F76" s="53"/>
      <c r="G76" s="56" t="s">
        <v>494</v>
      </c>
      <c r="H76" s="57">
        <v>1539.44</v>
      </c>
      <c r="I76" s="6"/>
      <c r="J76" s="6"/>
      <c r="K76" s="11"/>
      <c r="L76" s="53"/>
    </row>
    <row r="77" s="11" customFormat="true" customHeight="true" spans="1:12">
      <c r="A77" s="5"/>
      <c r="B77" s="6"/>
      <c r="C77" s="5"/>
      <c r="D77" s="53"/>
      <c r="E77" s="5"/>
      <c r="F77" s="53"/>
      <c r="G77" s="56" t="s">
        <v>494</v>
      </c>
      <c r="H77" s="57">
        <v>1982.9</v>
      </c>
      <c r="I77" s="6"/>
      <c r="J77" s="6"/>
      <c r="K77" s="5"/>
      <c r="L77" s="53"/>
    </row>
    <row r="78" s="5" customFormat="true" customHeight="true" spans="2:12">
      <c r="B78" s="6"/>
      <c r="D78" s="53"/>
      <c r="F78" s="53"/>
      <c r="G78" s="56" t="s">
        <v>494</v>
      </c>
      <c r="H78" s="57">
        <v>2887.49</v>
      </c>
      <c r="I78" s="6"/>
      <c r="J78" s="51"/>
      <c r="K78" s="11"/>
      <c r="L78" s="53"/>
    </row>
    <row r="79" s="11" customFormat="true" customHeight="true" spans="1:12">
      <c r="A79" s="5"/>
      <c r="B79" s="6"/>
      <c r="C79" s="5"/>
      <c r="D79" s="53"/>
      <c r="E79" s="5"/>
      <c r="F79" s="53"/>
      <c r="G79" s="56" t="s">
        <v>494</v>
      </c>
      <c r="H79" s="57">
        <v>2731.56</v>
      </c>
      <c r="I79" s="6"/>
      <c r="J79" s="6"/>
      <c r="K79" s="5"/>
      <c r="L79" s="53"/>
    </row>
    <row r="80" s="5" customFormat="true" customHeight="true" spans="2:12">
      <c r="B80" s="6"/>
      <c r="D80" s="53"/>
      <c r="F80" s="53"/>
      <c r="H80" s="53"/>
      <c r="I80" s="51"/>
      <c r="J80" s="51"/>
      <c r="L80" s="53"/>
    </row>
    <row r="81" s="5" customFormat="true" customHeight="true" spans="1:12">
      <c r="A81" s="11">
        <v>9</v>
      </c>
      <c r="B81" s="51"/>
      <c r="C81" s="11"/>
      <c r="D81" s="54">
        <f>D82</f>
        <v>59600</v>
      </c>
      <c r="E81" s="11"/>
      <c r="F81" s="54">
        <f>F82</f>
        <v>59600</v>
      </c>
      <c r="G81" s="11"/>
      <c r="H81" s="54">
        <f>H82</f>
        <v>59600</v>
      </c>
      <c r="I81" s="6"/>
      <c r="J81" s="6"/>
      <c r="L81" s="53"/>
    </row>
    <row r="82" s="5" customFormat="true" customHeight="true" spans="2:12">
      <c r="B82" s="55" t="s">
        <v>362</v>
      </c>
      <c r="C82" s="5" t="s">
        <v>524</v>
      </c>
      <c r="D82" s="53">
        <v>59600</v>
      </c>
      <c r="E82" s="5" t="s">
        <v>525</v>
      </c>
      <c r="F82" s="53">
        <v>59600</v>
      </c>
      <c r="G82" s="5" t="s">
        <v>526</v>
      </c>
      <c r="H82" s="53">
        <v>59600</v>
      </c>
      <c r="I82" s="51"/>
      <c r="J82" s="6"/>
      <c r="K82" s="11"/>
      <c r="L82" s="53"/>
    </row>
    <row r="83" s="11" customFormat="true" customHeight="true" spans="1:12">
      <c r="A83" s="11">
        <v>10</v>
      </c>
      <c r="B83" s="51"/>
      <c r="D83" s="54">
        <f t="shared" ref="D83:H83" si="6">SUM(D84:D86)</f>
        <v>503800</v>
      </c>
      <c r="E83" s="54"/>
      <c r="F83" s="54">
        <f>SUM(F84:F86)</f>
        <v>513800</v>
      </c>
      <c r="G83" s="54"/>
      <c r="H83" s="54">
        <f t="shared" si="6"/>
        <v>503800</v>
      </c>
      <c r="I83" s="6"/>
      <c r="J83" s="6"/>
      <c r="K83" s="5"/>
      <c r="L83" s="53"/>
    </row>
    <row r="84" s="5" customFormat="true" customHeight="true" spans="2:10">
      <c r="B84" s="6" t="s">
        <v>389</v>
      </c>
      <c r="C84" s="5" t="s">
        <v>394</v>
      </c>
      <c r="D84" s="53">
        <v>423800</v>
      </c>
      <c r="E84" s="5" t="s">
        <v>527</v>
      </c>
      <c r="F84" s="53">
        <v>360000</v>
      </c>
      <c r="G84" s="5" t="s">
        <v>528</v>
      </c>
      <c r="H84" s="53">
        <v>423800</v>
      </c>
      <c r="I84" s="6"/>
      <c r="J84" s="51"/>
    </row>
    <row r="85" s="5" customFormat="true" customHeight="true" spans="2:12">
      <c r="B85" s="6"/>
      <c r="D85" s="53"/>
      <c r="E85" s="5" t="s">
        <v>397</v>
      </c>
      <c r="F85" s="53">
        <v>63800</v>
      </c>
      <c r="H85" s="53"/>
      <c r="I85" s="6"/>
      <c r="J85" s="6"/>
      <c r="L85" s="11"/>
    </row>
    <row r="86" s="5" customFormat="true" customHeight="true" spans="2:11">
      <c r="B86" s="55" t="s">
        <v>362</v>
      </c>
      <c r="C86" s="5" t="s">
        <v>529</v>
      </c>
      <c r="D86" s="53">
        <v>80000</v>
      </c>
      <c r="E86" s="5" t="s">
        <v>412</v>
      </c>
      <c r="F86" s="53">
        <v>90000</v>
      </c>
      <c r="G86" s="5" t="s">
        <v>530</v>
      </c>
      <c r="H86" s="53">
        <v>80000</v>
      </c>
      <c r="I86" s="51"/>
      <c r="J86" s="6"/>
      <c r="K86" s="11"/>
    </row>
    <row r="87" s="11" customFormat="true" customHeight="true" spans="1:11">
      <c r="A87" s="11">
        <v>12</v>
      </c>
      <c r="B87" s="51"/>
      <c r="D87" s="54">
        <f>SUM(D88:D90)</f>
        <v>299600</v>
      </c>
      <c r="E87" s="54"/>
      <c r="F87" s="54">
        <f>SUM(F88:F90)</f>
        <v>276614</v>
      </c>
      <c r="G87" s="54"/>
      <c r="H87" s="54">
        <f>SUM(H88:H90)</f>
        <v>246613.15</v>
      </c>
      <c r="I87" s="6"/>
      <c r="J87" s="6"/>
      <c r="K87" s="5"/>
    </row>
    <row r="88" s="5" customFormat="true" customHeight="true" spans="2:11">
      <c r="B88" s="55" t="s">
        <v>362</v>
      </c>
      <c r="C88" s="5" t="s">
        <v>531</v>
      </c>
      <c r="D88" s="53">
        <v>59600</v>
      </c>
      <c r="E88" s="5" t="s">
        <v>532</v>
      </c>
      <c r="F88" s="53">
        <v>69600</v>
      </c>
      <c r="G88" s="5" t="s">
        <v>533</v>
      </c>
      <c r="H88" s="53">
        <v>59600</v>
      </c>
      <c r="I88" s="6"/>
      <c r="J88" s="51"/>
      <c r="K88" s="11"/>
    </row>
    <row r="89" s="11" customFormat="true" customHeight="true" spans="1:12">
      <c r="A89" s="5"/>
      <c r="B89" s="55" t="s">
        <v>362</v>
      </c>
      <c r="C89" s="5" t="s">
        <v>534</v>
      </c>
      <c r="D89" s="53">
        <v>160000</v>
      </c>
      <c r="E89" s="5" t="s">
        <v>535</v>
      </c>
      <c r="F89" s="53">
        <v>127014</v>
      </c>
      <c r="G89" s="5" t="s">
        <v>536</v>
      </c>
      <c r="H89" s="53">
        <v>107013.15</v>
      </c>
      <c r="I89" s="6"/>
      <c r="J89" s="6"/>
      <c r="K89" s="5"/>
      <c r="L89" s="5"/>
    </row>
    <row r="90" s="5" customFormat="true" customHeight="true" spans="2:10">
      <c r="B90" s="55" t="s">
        <v>362</v>
      </c>
      <c r="C90" s="5" t="s">
        <v>537</v>
      </c>
      <c r="D90" s="53">
        <v>80000</v>
      </c>
      <c r="E90" s="5" t="s">
        <v>538</v>
      </c>
      <c r="F90" s="53">
        <v>80000</v>
      </c>
      <c r="G90" s="5" t="s">
        <v>539</v>
      </c>
      <c r="H90" s="53">
        <v>80000</v>
      </c>
      <c r="I90" s="51"/>
      <c r="J90" s="51"/>
    </row>
    <row r="91" s="5" customFormat="true" customHeight="true" spans="1:10">
      <c r="A91" s="11">
        <v>13</v>
      </c>
      <c r="B91" s="51"/>
      <c r="C91" s="11"/>
      <c r="D91" s="54">
        <f>D92</f>
        <v>242000</v>
      </c>
      <c r="E91" s="54"/>
      <c r="F91" s="54">
        <f>F92</f>
        <v>242000</v>
      </c>
      <c r="G91" s="54"/>
      <c r="H91" s="54">
        <f>H92+H93</f>
        <v>242000</v>
      </c>
      <c r="I91" s="6"/>
      <c r="J91" s="6"/>
    </row>
    <row r="92" s="5" customFormat="true" customHeight="true" spans="2:10">
      <c r="B92" s="6" t="s">
        <v>540</v>
      </c>
      <c r="C92" s="56" t="s">
        <v>541</v>
      </c>
      <c r="D92" s="57">
        <v>242000</v>
      </c>
      <c r="E92" s="56" t="s">
        <v>542</v>
      </c>
      <c r="F92" s="57">
        <v>242000</v>
      </c>
      <c r="G92" s="56" t="s">
        <v>543</v>
      </c>
      <c r="H92" s="57">
        <v>142000</v>
      </c>
      <c r="I92" s="51"/>
      <c r="J92" s="6"/>
    </row>
    <row r="93" s="5" customFormat="true" customHeight="true" spans="2:10">
      <c r="B93" s="6"/>
      <c r="D93" s="53"/>
      <c r="F93" s="53"/>
      <c r="G93" s="56" t="s">
        <v>544</v>
      </c>
      <c r="H93" s="57">
        <v>100000</v>
      </c>
      <c r="I93" s="51"/>
      <c r="J93" s="6"/>
    </row>
    <row r="94" s="5" customFormat="true" customHeight="true" spans="1:10">
      <c r="A94" s="11">
        <v>14</v>
      </c>
      <c r="B94" s="51"/>
      <c r="C94" s="11"/>
      <c r="D94" s="54">
        <f>SUM(D95:D97)</f>
        <v>70600</v>
      </c>
      <c r="E94" s="54"/>
      <c r="F94" s="54">
        <f>SUM(F95:F97)</f>
        <v>70600</v>
      </c>
      <c r="G94" s="54"/>
      <c r="H94" s="54">
        <f t="shared" ref="H94" si="7">SUM(H95:H97)</f>
        <v>70600</v>
      </c>
      <c r="I94" s="51"/>
      <c r="J94" s="6"/>
    </row>
    <row r="95" s="5" customFormat="true" customHeight="true" spans="2:12">
      <c r="B95" s="6" t="s">
        <v>545</v>
      </c>
      <c r="C95" s="5" t="s">
        <v>546</v>
      </c>
      <c r="D95" s="53">
        <v>8800</v>
      </c>
      <c r="E95" s="5" t="s">
        <v>547</v>
      </c>
      <c r="F95" s="53">
        <v>8800</v>
      </c>
      <c r="G95" s="5" t="s">
        <v>548</v>
      </c>
      <c r="H95" s="53">
        <v>8800</v>
      </c>
      <c r="I95" s="6"/>
      <c r="J95" s="6"/>
      <c r="L95" s="11"/>
    </row>
    <row r="96" s="5" customFormat="true" customHeight="true" spans="2:12">
      <c r="B96" s="6" t="s">
        <v>545</v>
      </c>
      <c r="C96" s="5" t="s">
        <v>549</v>
      </c>
      <c r="D96" s="53">
        <v>10000</v>
      </c>
      <c r="E96" s="5" t="s">
        <v>550</v>
      </c>
      <c r="F96" s="53">
        <v>10000</v>
      </c>
      <c r="G96" s="5" t="s">
        <v>492</v>
      </c>
      <c r="H96" s="53">
        <v>10000</v>
      </c>
      <c r="I96" s="55"/>
      <c r="J96" s="6"/>
      <c r="K96" s="11"/>
      <c r="L96" s="11"/>
    </row>
    <row r="97" s="11" customFormat="true" customHeight="true" spans="1:10">
      <c r="A97" s="5"/>
      <c r="B97" s="6" t="s">
        <v>551</v>
      </c>
      <c r="C97" s="5" t="s">
        <v>552</v>
      </c>
      <c r="D97" s="53">
        <v>51800</v>
      </c>
      <c r="E97" s="5" t="s">
        <v>494</v>
      </c>
      <c r="F97" s="53">
        <v>51800</v>
      </c>
      <c r="G97" s="5" t="s">
        <v>553</v>
      </c>
      <c r="H97" s="53">
        <v>51800</v>
      </c>
      <c r="I97" s="55"/>
      <c r="J97" s="6"/>
    </row>
    <row r="98" s="11" customFormat="true" customHeight="true" spans="1:12">
      <c r="A98" s="5"/>
      <c r="B98" s="6" t="s">
        <v>449</v>
      </c>
      <c r="C98" s="58" t="s">
        <v>554</v>
      </c>
      <c r="D98" s="59">
        <v>29800</v>
      </c>
      <c r="E98" s="58" t="s">
        <v>527</v>
      </c>
      <c r="F98" s="59">
        <v>71513.82</v>
      </c>
      <c r="G98" s="58" t="s">
        <v>555</v>
      </c>
      <c r="H98" s="59">
        <v>71513.82</v>
      </c>
      <c r="I98" s="55" t="s">
        <v>556</v>
      </c>
      <c r="J98" s="51"/>
      <c r="L98" s="5"/>
    </row>
    <row r="99" s="11" customFormat="true" customHeight="true" spans="1:12">
      <c r="A99" s="5"/>
      <c r="B99" s="6" t="s">
        <v>557</v>
      </c>
      <c r="C99" s="56" t="s">
        <v>558</v>
      </c>
      <c r="D99" s="57">
        <v>65800</v>
      </c>
      <c r="E99" s="56" t="s">
        <v>559</v>
      </c>
      <c r="F99" s="57">
        <v>65800</v>
      </c>
      <c r="G99" s="56" t="s">
        <v>560</v>
      </c>
      <c r="H99" s="57">
        <v>65800</v>
      </c>
      <c r="I99" s="6" t="s">
        <v>561</v>
      </c>
      <c r="J99" s="51"/>
      <c r="K99" s="5"/>
      <c r="L99" s="5"/>
    </row>
    <row r="100" s="5" customFormat="true" customHeight="true" spans="2:10">
      <c r="B100" s="6" t="s">
        <v>562</v>
      </c>
      <c r="C100" s="58" t="s">
        <v>563</v>
      </c>
      <c r="D100" s="59">
        <v>52000</v>
      </c>
      <c r="E100" s="58" t="s">
        <v>488</v>
      </c>
      <c r="F100" s="59">
        <v>52000</v>
      </c>
      <c r="G100" s="58" t="s">
        <v>564</v>
      </c>
      <c r="H100" s="59">
        <v>52000</v>
      </c>
      <c r="I100" s="55" t="s">
        <v>565</v>
      </c>
      <c r="J100" s="51"/>
    </row>
    <row r="101" s="5" customFormat="true" customHeight="true" spans="1:10">
      <c r="A101" s="11">
        <v>15</v>
      </c>
      <c r="B101" s="51"/>
      <c r="C101" s="11"/>
      <c r="D101" s="54">
        <f>SUM(D104:D106)</f>
        <v>70000</v>
      </c>
      <c r="E101" s="54"/>
      <c r="F101" s="54">
        <f>SUM(F104:F106)</f>
        <v>70000</v>
      </c>
      <c r="G101" s="54"/>
      <c r="H101" s="54">
        <f>SUM(H104:H116)</f>
        <v>60414.43</v>
      </c>
      <c r="I101" s="51"/>
      <c r="J101" s="6"/>
    </row>
    <row r="102" s="5" customFormat="true" customHeight="true" spans="1:10">
      <c r="A102" s="11"/>
      <c r="B102" s="6" t="s">
        <v>362</v>
      </c>
      <c r="C102" s="58" t="s">
        <v>566</v>
      </c>
      <c r="D102" s="59">
        <v>59600</v>
      </c>
      <c r="F102" s="53"/>
      <c r="H102" s="53"/>
      <c r="I102" s="55" t="s">
        <v>567</v>
      </c>
      <c r="J102" s="6"/>
    </row>
    <row r="103" s="5" customFormat="true" customHeight="true" spans="1:10">
      <c r="A103" s="11"/>
      <c r="B103" s="6" t="s">
        <v>362</v>
      </c>
      <c r="C103" s="56" t="s">
        <v>568</v>
      </c>
      <c r="D103" s="57">
        <v>59600</v>
      </c>
      <c r="E103" s="56" t="s">
        <v>384</v>
      </c>
      <c r="F103" s="57">
        <v>52152.12</v>
      </c>
      <c r="G103" s="56" t="s">
        <v>569</v>
      </c>
      <c r="H103" s="57">
        <v>42152.12</v>
      </c>
      <c r="I103" s="6"/>
      <c r="J103" s="6"/>
    </row>
    <row r="104" s="5" customFormat="true" customHeight="true" spans="2:10">
      <c r="B104" s="6" t="s">
        <v>414</v>
      </c>
      <c r="C104" s="5" t="s">
        <v>417</v>
      </c>
      <c r="D104" s="53">
        <v>10000</v>
      </c>
      <c r="E104" s="5" t="s">
        <v>417</v>
      </c>
      <c r="F104" s="53">
        <v>10000</v>
      </c>
      <c r="G104" s="5" t="s">
        <v>404</v>
      </c>
      <c r="H104" s="53">
        <v>5779.95</v>
      </c>
      <c r="I104" s="6"/>
      <c r="J104" s="6"/>
    </row>
    <row r="105" s="5" customFormat="true" customHeight="true" spans="2:10">
      <c r="B105" s="6" t="s">
        <v>414</v>
      </c>
      <c r="C105" s="5" t="s">
        <v>526</v>
      </c>
      <c r="D105" s="53">
        <v>30000</v>
      </c>
      <c r="E105" s="5" t="s">
        <v>526</v>
      </c>
      <c r="F105" s="53">
        <v>30000</v>
      </c>
      <c r="G105" s="5" t="s">
        <v>404</v>
      </c>
      <c r="H105" s="53">
        <v>4514.08</v>
      </c>
      <c r="I105" s="6"/>
      <c r="J105" s="6"/>
    </row>
    <row r="106" s="5" customFormat="true" customHeight="true" spans="2:10">
      <c r="B106" s="6" t="s">
        <v>414</v>
      </c>
      <c r="C106" s="5" t="s">
        <v>570</v>
      </c>
      <c r="D106" s="53">
        <v>30000</v>
      </c>
      <c r="E106" s="5" t="s">
        <v>570</v>
      </c>
      <c r="F106" s="53">
        <v>30000</v>
      </c>
      <c r="G106" s="5" t="s">
        <v>404</v>
      </c>
      <c r="H106" s="53">
        <v>97.8</v>
      </c>
      <c r="I106" s="6"/>
      <c r="J106" s="6"/>
    </row>
    <row r="107" s="5" customFormat="true" customHeight="true" spans="2:10">
      <c r="B107" s="6"/>
      <c r="D107" s="53"/>
      <c r="E107" s="58" t="s">
        <v>571</v>
      </c>
      <c r="F107" s="59">
        <v>10000</v>
      </c>
      <c r="G107" s="5" t="s">
        <v>404</v>
      </c>
      <c r="H107" s="53">
        <v>2520.91</v>
      </c>
      <c r="I107" s="6" t="s">
        <v>572</v>
      </c>
      <c r="J107" s="6"/>
    </row>
    <row r="108" s="5" customFormat="true" customHeight="true" spans="2:10">
      <c r="B108" s="6"/>
      <c r="D108" s="53"/>
      <c r="E108" s="58" t="s">
        <v>509</v>
      </c>
      <c r="F108" s="59">
        <v>10000</v>
      </c>
      <c r="G108" s="5" t="s">
        <v>404</v>
      </c>
      <c r="H108" s="53">
        <v>5730.9</v>
      </c>
      <c r="I108" s="6" t="s">
        <v>572</v>
      </c>
      <c r="J108" s="6"/>
    </row>
    <row r="109" s="5" customFormat="true" customHeight="true" spans="2:10">
      <c r="B109" s="6"/>
      <c r="D109" s="53"/>
      <c r="E109" s="58" t="s">
        <v>573</v>
      </c>
      <c r="F109" s="59">
        <v>30000</v>
      </c>
      <c r="G109" s="5" t="s">
        <v>404</v>
      </c>
      <c r="H109" s="53">
        <v>6619.91</v>
      </c>
      <c r="I109" s="6" t="s">
        <v>572</v>
      </c>
      <c r="J109" s="6"/>
    </row>
    <row r="110" s="5" customFormat="true" customHeight="true" spans="2:10">
      <c r="B110" s="6"/>
      <c r="D110" s="53"/>
      <c r="F110" s="53"/>
      <c r="G110" s="5" t="s">
        <v>404</v>
      </c>
      <c r="H110" s="53">
        <v>5015.76</v>
      </c>
      <c r="I110" s="6"/>
      <c r="J110" s="6"/>
    </row>
    <row r="111" s="5" customFormat="true" customHeight="true" spans="2:12">
      <c r="B111" s="6"/>
      <c r="D111" s="53"/>
      <c r="F111" s="53"/>
      <c r="G111" s="5" t="s">
        <v>404</v>
      </c>
      <c r="H111" s="53">
        <v>2820.94</v>
      </c>
      <c r="I111" s="6"/>
      <c r="J111" s="6"/>
      <c r="L111" s="11"/>
    </row>
    <row r="112" s="5" customFormat="true" customHeight="true" spans="2:11">
      <c r="B112" s="6"/>
      <c r="D112" s="53"/>
      <c r="F112" s="53"/>
      <c r="G112" s="5" t="s">
        <v>404</v>
      </c>
      <c r="H112" s="53">
        <v>3784.73</v>
      </c>
      <c r="I112" s="6"/>
      <c r="J112" s="6"/>
      <c r="K112" s="11"/>
    </row>
    <row r="113" s="11" customFormat="true" customHeight="true" spans="1:12">
      <c r="A113" s="5"/>
      <c r="B113" s="6"/>
      <c r="C113" s="5"/>
      <c r="D113" s="53"/>
      <c r="E113" s="5"/>
      <c r="F113" s="53"/>
      <c r="G113" s="5" t="s">
        <v>404</v>
      </c>
      <c r="H113" s="53">
        <v>3903.15</v>
      </c>
      <c r="I113" s="6"/>
      <c r="J113" s="6"/>
      <c r="K113" s="5"/>
      <c r="L113" s="5"/>
    </row>
    <row r="114" s="5" customFormat="true" customHeight="true" spans="2:10">
      <c r="B114" s="6"/>
      <c r="D114" s="53"/>
      <c r="F114" s="53"/>
      <c r="G114" s="5" t="s">
        <v>404</v>
      </c>
      <c r="H114" s="53">
        <v>7297.07</v>
      </c>
      <c r="I114" s="6"/>
      <c r="J114" s="51"/>
    </row>
    <row r="115" s="5" customFormat="true" customHeight="true" spans="2:10">
      <c r="B115" s="6"/>
      <c r="D115" s="53"/>
      <c r="F115" s="53"/>
      <c r="G115" s="5" t="s">
        <v>404</v>
      </c>
      <c r="H115" s="53">
        <v>5996.53</v>
      </c>
      <c r="I115" s="6"/>
      <c r="J115" s="6"/>
    </row>
    <row r="116" s="5" customFormat="true" customHeight="true" spans="2:10">
      <c r="B116" s="6"/>
      <c r="D116" s="53"/>
      <c r="F116" s="53"/>
      <c r="G116" s="5" t="s">
        <v>404</v>
      </c>
      <c r="H116" s="53">
        <v>6332.7</v>
      </c>
      <c r="I116" s="6"/>
      <c r="J116" s="6"/>
    </row>
    <row r="117" s="5" customFormat="true" customHeight="true" spans="1:10">
      <c r="A117" s="11">
        <v>16</v>
      </c>
      <c r="B117" s="51"/>
      <c r="C117" s="11"/>
      <c r="D117" s="54">
        <f>D119</f>
        <v>29800</v>
      </c>
      <c r="E117" s="11"/>
      <c r="F117" s="54">
        <v>59800</v>
      </c>
      <c r="G117" s="11"/>
      <c r="H117" s="54">
        <f>H119</f>
        <v>29800</v>
      </c>
      <c r="I117" s="51"/>
      <c r="J117" s="6"/>
    </row>
    <row r="118" s="5" customFormat="true" customHeight="true" spans="2:10">
      <c r="B118" s="55" t="s">
        <v>362</v>
      </c>
      <c r="C118" s="58" t="s">
        <v>574</v>
      </c>
      <c r="D118" s="59">
        <v>80000</v>
      </c>
      <c r="F118" s="53"/>
      <c r="G118" s="58" t="s">
        <v>421</v>
      </c>
      <c r="H118" s="59">
        <v>80000</v>
      </c>
      <c r="I118" s="55" t="s">
        <v>575</v>
      </c>
      <c r="J118" s="6"/>
    </row>
    <row r="119" s="5" customFormat="true" customHeight="true" spans="2:12">
      <c r="B119" s="6" t="s">
        <v>362</v>
      </c>
      <c r="C119" s="5" t="s">
        <v>576</v>
      </c>
      <c r="D119" s="53">
        <v>29800</v>
      </c>
      <c r="E119" s="5" t="s">
        <v>502</v>
      </c>
      <c r="F119" s="53">
        <v>59800</v>
      </c>
      <c r="G119" s="5" t="s">
        <v>421</v>
      </c>
      <c r="H119" s="53">
        <v>29800</v>
      </c>
      <c r="I119" s="6"/>
      <c r="J119" s="6"/>
      <c r="L119" s="11"/>
    </row>
    <row r="120" s="5" customFormat="true" customHeight="true" spans="2:12">
      <c r="B120" s="6"/>
      <c r="D120" s="53"/>
      <c r="E120" s="58" t="s">
        <v>487</v>
      </c>
      <c r="F120" s="59">
        <v>10000</v>
      </c>
      <c r="H120" s="53"/>
      <c r="I120" s="55" t="s">
        <v>577</v>
      </c>
      <c r="J120" s="6"/>
      <c r="L120" s="11"/>
    </row>
    <row r="121" s="5" customFormat="true" customHeight="true" spans="2:11">
      <c r="B121" s="6"/>
      <c r="D121" s="53"/>
      <c r="E121" s="58" t="s">
        <v>578</v>
      </c>
      <c r="F121" s="59">
        <v>36800</v>
      </c>
      <c r="H121" s="53"/>
      <c r="I121" s="6" t="s">
        <v>579</v>
      </c>
      <c r="J121" s="6"/>
      <c r="K121" s="11"/>
    </row>
    <row r="122" s="11" customFormat="true" customHeight="true" spans="1:12">
      <c r="A122" s="5"/>
      <c r="B122" s="6"/>
      <c r="C122" s="5"/>
      <c r="D122" s="53"/>
      <c r="E122" s="58" t="s">
        <v>580</v>
      </c>
      <c r="F122" s="59">
        <v>30000</v>
      </c>
      <c r="G122" s="5"/>
      <c r="H122" s="53"/>
      <c r="I122" s="55" t="s">
        <v>577</v>
      </c>
      <c r="J122" s="6"/>
      <c r="K122" s="5"/>
      <c r="L122" s="5"/>
    </row>
    <row r="123" s="5" customFormat="true" customHeight="true" spans="2:12">
      <c r="B123" s="6"/>
      <c r="D123" s="53"/>
      <c r="E123" s="58" t="s">
        <v>473</v>
      </c>
      <c r="F123" s="59">
        <v>69600</v>
      </c>
      <c r="H123" s="53"/>
      <c r="I123" s="55" t="s">
        <v>577</v>
      </c>
      <c r="J123" s="51"/>
      <c r="L123" s="11"/>
    </row>
    <row r="124" s="5" customFormat="true" customHeight="true" spans="2:11">
      <c r="B124" s="6"/>
      <c r="D124" s="53"/>
      <c r="E124" s="58" t="s">
        <v>400</v>
      </c>
      <c r="F124" s="59">
        <v>50000</v>
      </c>
      <c r="H124" s="53"/>
      <c r="I124" s="55" t="s">
        <v>577</v>
      </c>
      <c r="J124" s="6"/>
      <c r="K124" s="11"/>
    </row>
    <row r="125" s="11" customFormat="true" customHeight="true" spans="1:12">
      <c r="A125" s="5"/>
      <c r="B125" s="6"/>
      <c r="C125" s="5"/>
      <c r="D125" s="53"/>
      <c r="E125" s="56" t="s">
        <v>581</v>
      </c>
      <c r="F125" s="57">
        <v>30000</v>
      </c>
      <c r="G125" s="5"/>
      <c r="H125" s="53"/>
      <c r="I125" s="55" t="s">
        <v>577</v>
      </c>
      <c r="J125" s="6"/>
      <c r="K125" s="5"/>
      <c r="L125" s="5"/>
    </row>
    <row r="126" s="5" customFormat="true" customHeight="true" spans="1:10">
      <c r="A126" s="11">
        <v>17</v>
      </c>
      <c r="B126" s="51"/>
      <c r="D126" s="54">
        <f>D127</f>
        <v>50000</v>
      </c>
      <c r="E126" s="54"/>
      <c r="F126" s="54">
        <f t="shared" ref="F126:H126" si="8">F127</f>
        <v>50000</v>
      </c>
      <c r="G126" s="54"/>
      <c r="H126" s="54">
        <f t="shared" si="8"/>
        <v>50000</v>
      </c>
      <c r="I126" s="51"/>
      <c r="J126" s="51"/>
    </row>
    <row r="127" s="5" customFormat="true" customHeight="true" spans="2:10">
      <c r="B127" s="55" t="s">
        <v>582</v>
      </c>
      <c r="C127" s="5" t="s">
        <v>583</v>
      </c>
      <c r="D127" s="53">
        <v>50000</v>
      </c>
      <c r="E127" s="5" t="s">
        <v>584</v>
      </c>
      <c r="F127" s="53">
        <v>50000</v>
      </c>
      <c r="G127" s="5" t="s">
        <v>585</v>
      </c>
      <c r="H127" s="53">
        <v>50000</v>
      </c>
      <c r="I127" s="55"/>
      <c r="J127" s="6"/>
    </row>
    <row r="128" s="5" customFormat="true" customHeight="true" spans="2:10">
      <c r="B128" s="55" t="s">
        <v>362</v>
      </c>
      <c r="C128" s="58" t="s">
        <v>586</v>
      </c>
      <c r="D128" s="59">
        <v>80000</v>
      </c>
      <c r="F128" s="53"/>
      <c r="G128" s="58" t="s">
        <v>587</v>
      </c>
      <c r="H128" s="59">
        <v>80000</v>
      </c>
      <c r="I128" s="6" t="s">
        <v>588</v>
      </c>
      <c r="J128" s="6"/>
    </row>
    <row r="129" s="5" customFormat="true" customHeight="true" spans="1:10">
      <c r="A129" s="11">
        <v>18</v>
      </c>
      <c r="B129" s="51"/>
      <c r="C129" s="11"/>
      <c r="D129" s="54">
        <f>SUM(D130:D137)</f>
        <v>350000</v>
      </c>
      <c r="E129" s="54"/>
      <c r="F129" s="54">
        <f t="shared" ref="F129" si="9">SUM(F130:F137)</f>
        <v>324263.75</v>
      </c>
      <c r="G129" s="54"/>
      <c r="H129" s="54">
        <f>SUM(H130:H137)-H136</f>
        <v>335976.89</v>
      </c>
      <c r="I129" s="51"/>
      <c r="J129" s="6"/>
    </row>
    <row r="130" s="5" customFormat="true" customHeight="true" spans="2:10">
      <c r="B130" s="55" t="s">
        <v>362</v>
      </c>
      <c r="C130" s="5" t="s">
        <v>589</v>
      </c>
      <c r="D130" s="53">
        <v>160000</v>
      </c>
      <c r="E130" s="5" t="s">
        <v>538</v>
      </c>
      <c r="F130" s="61">
        <v>141463.75</v>
      </c>
      <c r="G130" s="5" t="s">
        <v>590</v>
      </c>
      <c r="H130" s="53">
        <v>131463.75</v>
      </c>
      <c r="I130" s="55"/>
      <c r="J130" s="6"/>
    </row>
    <row r="131" s="5" customFormat="true" customHeight="true" spans="2:10">
      <c r="B131" s="6" t="s">
        <v>414</v>
      </c>
      <c r="C131" s="5" t="s">
        <v>538</v>
      </c>
      <c r="D131" s="53">
        <v>10000</v>
      </c>
      <c r="F131" s="61"/>
      <c r="G131" s="5" t="s">
        <v>591</v>
      </c>
      <c r="H131" s="53">
        <v>1550.14</v>
      </c>
      <c r="I131" s="6" t="s">
        <v>592</v>
      </c>
      <c r="J131" s="6"/>
    </row>
    <row r="132" s="5" customFormat="true" customHeight="true" spans="2:12">
      <c r="B132" s="6"/>
      <c r="D132" s="53"/>
      <c r="F132" s="53"/>
      <c r="G132" s="5" t="s">
        <v>591</v>
      </c>
      <c r="H132" s="53">
        <v>8901.02</v>
      </c>
      <c r="I132" s="6" t="s">
        <v>593</v>
      </c>
      <c r="J132" s="6"/>
      <c r="L132" s="11"/>
    </row>
    <row r="133" s="5" customFormat="true" customHeight="true" spans="2:11">
      <c r="B133" s="6" t="s">
        <v>414</v>
      </c>
      <c r="C133" s="5" t="s">
        <v>525</v>
      </c>
      <c r="D133" s="53">
        <v>20000</v>
      </c>
      <c r="E133" s="5" t="s">
        <v>594</v>
      </c>
      <c r="F133" s="61">
        <v>182800</v>
      </c>
      <c r="G133" s="5" t="s">
        <v>591</v>
      </c>
      <c r="H133" s="53">
        <v>14047.72</v>
      </c>
      <c r="I133" s="6" t="s">
        <v>595</v>
      </c>
      <c r="J133" s="6"/>
      <c r="K133" s="11"/>
    </row>
    <row r="134" s="11" customFormat="true" customHeight="true" spans="1:12">
      <c r="A134" s="5"/>
      <c r="B134" s="55" t="s">
        <v>362</v>
      </c>
      <c r="C134" s="5" t="s">
        <v>524</v>
      </c>
      <c r="D134" s="53">
        <v>160000</v>
      </c>
      <c r="E134" s="5"/>
      <c r="F134" s="61"/>
      <c r="G134" s="5" t="s">
        <v>591</v>
      </c>
      <c r="H134" s="53">
        <v>16314.54</v>
      </c>
      <c r="I134" s="6" t="s">
        <v>596</v>
      </c>
      <c r="J134" s="6"/>
      <c r="K134" s="5"/>
      <c r="L134" s="5"/>
    </row>
    <row r="135" s="5" customFormat="true" customHeight="true" spans="2:10">
      <c r="B135" s="6"/>
      <c r="D135" s="53"/>
      <c r="F135" s="53"/>
      <c r="G135" s="5" t="s">
        <v>591</v>
      </c>
      <c r="H135" s="53">
        <v>3699.72</v>
      </c>
      <c r="I135" s="6" t="s">
        <v>597</v>
      </c>
      <c r="J135" s="6"/>
    </row>
    <row r="136" s="5" customFormat="true" customHeight="true" spans="2:10">
      <c r="B136" s="6"/>
      <c r="D136" s="53"/>
      <c r="F136" s="53"/>
      <c r="G136" s="58" t="s">
        <v>598</v>
      </c>
      <c r="H136" s="59">
        <v>131463.75</v>
      </c>
      <c r="I136" s="55" t="s">
        <v>599</v>
      </c>
      <c r="J136" s="51"/>
    </row>
    <row r="137" s="5" customFormat="true" customHeight="true" spans="2:10">
      <c r="B137" s="6"/>
      <c r="D137" s="53"/>
      <c r="F137" s="53"/>
      <c r="G137" s="5" t="s">
        <v>600</v>
      </c>
      <c r="H137" s="53">
        <v>160000</v>
      </c>
      <c r="I137" s="55"/>
      <c r="J137" s="6"/>
    </row>
    <row r="138" s="5" customFormat="true" customHeight="true" spans="1:12">
      <c r="A138" s="11">
        <v>19</v>
      </c>
      <c r="B138" s="51"/>
      <c r="C138" s="11"/>
      <c r="D138" s="54">
        <f>SUM(D139:D141)+D143</f>
        <v>457240</v>
      </c>
      <c r="E138" s="54"/>
      <c r="F138" s="54">
        <f>SUM(F139:F141)+80000</f>
        <v>445600</v>
      </c>
      <c r="G138" s="54"/>
      <c r="H138" s="54">
        <f>SUM(H139:H141)+H143</f>
        <v>696230</v>
      </c>
      <c r="I138" s="51"/>
      <c r="J138" s="6"/>
      <c r="L138" s="11"/>
    </row>
    <row r="139" s="5" customFormat="true" customHeight="true" spans="2:11">
      <c r="B139" s="55" t="s">
        <v>362</v>
      </c>
      <c r="C139" s="5" t="s">
        <v>601</v>
      </c>
      <c r="D139" s="53">
        <v>80000</v>
      </c>
      <c r="E139" s="5" t="s">
        <v>602</v>
      </c>
      <c r="F139" s="53">
        <v>80000</v>
      </c>
      <c r="G139" s="5" t="s">
        <v>603</v>
      </c>
      <c r="H139" s="61">
        <v>377240</v>
      </c>
      <c r="I139" s="55"/>
      <c r="J139" s="6"/>
      <c r="K139" s="11"/>
    </row>
    <row r="140" s="11" customFormat="true" customHeight="true" spans="1:12">
      <c r="A140" s="5"/>
      <c r="B140" s="6" t="s">
        <v>353</v>
      </c>
      <c r="C140" s="5" t="s">
        <v>604</v>
      </c>
      <c r="D140" s="53">
        <v>161640</v>
      </c>
      <c r="E140" s="5" t="s">
        <v>605</v>
      </c>
      <c r="F140" s="53">
        <v>150000</v>
      </c>
      <c r="G140" s="5"/>
      <c r="H140" s="61"/>
      <c r="I140" s="55"/>
      <c r="J140" s="6"/>
      <c r="K140" s="5"/>
      <c r="L140" s="5"/>
    </row>
    <row r="141" s="5" customFormat="true" customHeight="true" spans="2:10">
      <c r="B141" s="6" t="s">
        <v>353</v>
      </c>
      <c r="C141" s="5" t="s">
        <v>606</v>
      </c>
      <c r="D141" s="53">
        <v>135600</v>
      </c>
      <c r="E141" s="5" t="s">
        <v>527</v>
      </c>
      <c r="F141" s="53">
        <v>135600</v>
      </c>
      <c r="H141" s="61"/>
      <c r="I141" s="55"/>
      <c r="J141" s="69"/>
    </row>
    <row r="142" s="5" customFormat="true" customHeight="true" spans="2:10">
      <c r="B142" s="6" t="s">
        <v>414</v>
      </c>
      <c r="C142" s="58" t="s">
        <v>607</v>
      </c>
      <c r="D142" s="59">
        <v>20000</v>
      </c>
      <c r="E142" s="5" t="s">
        <v>502</v>
      </c>
      <c r="F142" s="61">
        <v>110000</v>
      </c>
      <c r="H142" s="53"/>
      <c r="I142" s="55" t="s">
        <v>608</v>
      </c>
      <c r="J142" s="6"/>
    </row>
    <row r="143" s="5" customFormat="true" customHeight="true" spans="2:10">
      <c r="B143" s="55" t="s">
        <v>362</v>
      </c>
      <c r="C143" s="5" t="s">
        <v>576</v>
      </c>
      <c r="D143" s="53">
        <v>80000</v>
      </c>
      <c r="F143" s="61"/>
      <c r="G143" s="5" t="s">
        <v>609</v>
      </c>
      <c r="H143" s="53">
        <v>318990</v>
      </c>
      <c r="I143" s="6" t="s">
        <v>610</v>
      </c>
      <c r="J143" s="6"/>
    </row>
    <row r="144" s="5" customFormat="true" customHeight="true" spans="1:10">
      <c r="A144" s="11">
        <v>21</v>
      </c>
      <c r="B144" s="51"/>
      <c r="C144" s="11"/>
      <c r="D144" s="54">
        <f t="shared" ref="D144" si="10">SUM(D145:D151)</f>
        <v>129600</v>
      </c>
      <c r="E144" s="54"/>
      <c r="F144" s="54">
        <f t="shared" ref="F144" si="11">SUM(F145:F151)</f>
        <v>129600</v>
      </c>
      <c r="G144" s="54"/>
      <c r="H144" s="54">
        <f>SUM(H145:H151)</f>
        <v>134638.02</v>
      </c>
      <c r="I144" s="51"/>
      <c r="J144" s="6"/>
    </row>
    <row r="145" s="5" customFormat="true" customHeight="true" spans="2:10">
      <c r="B145" s="6" t="s">
        <v>414</v>
      </c>
      <c r="C145" s="5" t="s">
        <v>364</v>
      </c>
      <c r="D145" s="53">
        <v>30000</v>
      </c>
      <c r="E145" s="5" t="s">
        <v>611</v>
      </c>
      <c r="F145" s="53">
        <v>30000</v>
      </c>
      <c r="G145" s="5" t="s">
        <v>427</v>
      </c>
      <c r="H145" s="53">
        <v>26854.46</v>
      </c>
      <c r="I145" s="6" t="s">
        <v>612</v>
      </c>
      <c r="J145" s="6"/>
    </row>
    <row r="146" s="5" customFormat="true" customHeight="true" spans="2:12">
      <c r="B146" s="6"/>
      <c r="D146" s="53"/>
      <c r="F146" s="53"/>
      <c r="G146" s="68" t="s">
        <v>613</v>
      </c>
      <c r="H146" s="53">
        <v>19018.93</v>
      </c>
      <c r="I146" s="6" t="s">
        <v>614</v>
      </c>
      <c r="J146" s="6"/>
      <c r="L146" s="11"/>
    </row>
    <row r="147" s="5" customFormat="true" customHeight="true" spans="2:11">
      <c r="B147" s="55" t="s">
        <v>362</v>
      </c>
      <c r="C147" s="5" t="s">
        <v>615</v>
      </c>
      <c r="D147" s="53">
        <v>29800</v>
      </c>
      <c r="E147" s="5" t="s">
        <v>616</v>
      </c>
      <c r="F147" s="53">
        <v>29800</v>
      </c>
      <c r="G147" s="68" t="s">
        <v>613</v>
      </c>
      <c r="H147" s="53">
        <v>29800</v>
      </c>
      <c r="I147" s="6"/>
      <c r="J147" s="6"/>
      <c r="K147" s="11"/>
    </row>
    <row r="148" s="11" customFormat="true" customHeight="true" spans="1:12">
      <c r="A148" s="5"/>
      <c r="B148" s="6" t="s">
        <v>414</v>
      </c>
      <c r="C148" s="5" t="s">
        <v>397</v>
      </c>
      <c r="D148" s="53">
        <v>30000</v>
      </c>
      <c r="E148" s="5" t="s">
        <v>397</v>
      </c>
      <c r="F148" s="53">
        <v>30000</v>
      </c>
      <c r="G148" s="5" t="s">
        <v>512</v>
      </c>
      <c r="H148" s="53">
        <v>2678.66</v>
      </c>
      <c r="I148" s="6"/>
      <c r="J148" s="6"/>
      <c r="K148" s="5"/>
      <c r="L148" s="5"/>
    </row>
    <row r="149" s="5" customFormat="true" customHeight="true" spans="2:10">
      <c r="B149" s="6"/>
      <c r="D149" s="53"/>
      <c r="F149" s="53"/>
      <c r="G149" s="5" t="s">
        <v>419</v>
      </c>
      <c r="H149" s="53">
        <v>2678.66</v>
      </c>
      <c r="I149" s="6"/>
      <c r="J149" s="51"/>
    </row>
    <row r="150" s="5" customFormat="true" customHeight="true" spans="2:10">
      <c r="B150" s="6"/>
      <c r="D150" s="53"/>
      <c r="F150" s="53"/>
      <c r="G150" s="5" t="s">
        <v>387</v>
      </c>
      <c r="H150" s="53">
        <v>13807.31</v>
      </c>
      <c r="I150" s="6" t="s">
        <v>617</v>
      </c>
      <c r="J150" s="6"/>
    </row>
    <row r="151" s="5" customFormat="true" customHeight="true" spans="2:10">
      <c r="B151" s="6" t="s">
        <v>618</v>
      </c>
      <c r="C151" s="67" t="s">
        <v>619</v>
      </c>
      <c r="D151" s="53">
        <v>39800</v>
      </c>
      <c r="E151" s="5" t="s">
        <v>578</v>
      </c>
      <c r="F151" s="53">
        <v>39800</v>
      </c>
      <c r="G151" s="5" t="s">
        <v>620</v>
      </c>
      <c r="H151" s="53">
        <v>39800</v>
      </c>
      <c r="I151" s="6"/>
      <c r="J151" s="6"/>
    </row>
    <row r="152" s="5" customFormat="true" customHeight="true" spans="1:10">
      <c r="A152" s="11">
        <v>22</v>
      </c>
      <c r="B152" s="51"/>
      <c r="C152" s="11"/>
      <c r="D152" s="54">
        <f>D153+D154+D165</f>
        <v>175940</v>
      </c>
      <c r="E152" s="54"/>
      <c r="F152" s="54">
        <f>F153+F165</f>
        <v>149768.18</v>
      </c>
      <c r="G152" s="54"/>
      <c r="H152" s="54">
        <f>SUM(H153:H165)</f>
        <v>153594.79</v>
      </c>
      <c r="I152" s="51"/>
      <c r="J152" s="6"/>
    </row>
    <row r="153" s="5" customFormat="true" customHeight="true" spans="2:10">
      <c r="B153" s="55" t="s">
        <v>362</v>
      </c>
      <c r="C153" s="5" t="s">
        <v>621</v>
      </c>
      <c r="D153" s="53">
        <v>160000</v>
      </c>
      <c r="E153" s="5" t="s">
        <v>622</v>
      </c>
      <c r="F153" s="61">
        <v>143828.18</v>
      </c>
      <c r="G153" s="5" t="s">
        <v>623</v>
      </c>
      <c r="H153" s="53">
        <v>133828.18</v>
      </c>
      <c r="I153" s="6"/>
      <c r="J153" s="6"/>
    </row>
    <row r="154" s="5" customFormat="true" customHeight="true" spans="2:10">
      <c r="B154" s="6" t="s">
        <v>414</v>
      </c>
      <c r="C154" s="5" t="s">
        <v>624</v>
      </c>
      <c r="D154" s="53">
        <v>10000</v>
      </c>
      <c r="F154" s="61"/>
      <c r="G154" s="5" t="s">
        <v>378</v>
      </c>
      <c r="H154" s="53">
        <v>1073.13</v>
      </c>
      <c r="I154" s="6"/>
      <c r="J154" s="6"/>
    </row>
    <row r="155" s="5" customFormat="true" customHeight="true" spans="2:10">
      <c r="B155" s="6"/>
      <c r="D155" s="53"/>
      <c r="F155" s="53"/>
      <c r="G155" s="5" t="s">
        <v>625</v>
      </c>
      <c r="H155" s="53">
        <v>449.4</v>
      </c>
      <c r="I155" s="6" t="s">
        <v>626</v>
      </c>
      <c r="J155" s="6"/>
    </row>
    <row r="156" s="5" customFormat="true" customHeight="true" spans="2:10">
      <c r="B156" s="6"/>
      <c r="D156" s="53"/>
      <c r="F156" s="53"/>
      <c r="G156" s="5" t="s">
        <v>625</v>
      </c>
      <c r="H156" s="53">
        <v>872.61</v>
      </c>
      <c r="I156" s="6" t="s">
        <v>627</v>
      </c>
      <c r="J156" s="6"/>
    </row>
    <row r="157" s="5" customFormat="true" customHeight="true" spans="2:10">
      <c r="B157" s="6"/>
      <c r="D157" s="53"/>
      <c r="F157" s="53"/>
      <c r="G157" s="5" t="s">
        <v>625</v>
      </c>
      <c r="H157" s="53">
        <v>1101.56</v>
      </c>
      <c r="I157" s="6" t="s">
        <v>628</v>
      </c>
      <c r="J157" s="6"/>
    </row>
    <row r="158" s="5" customFormat="true" customHeight="true" spans="2:10">
      <c r="B158" s="6"/>
      <c r="D158" s="53"/>
      <c r="F158" s="53"/>
      <c r="G158" s="5" t="s">
        <v>625</v>
      </c>
      <c r="H158" s="53">
        <v>2550.61</v>
      </c>
      <c r="I158" s="6" t="s">
        <v>629</v>
      </c>
      <c r="J158" s="6"/>
    </row>
    <row r="159" s="5" customFormat="true" customHeight="true" spans="2:10">
      <c r="B159" s="6"/>
      <c r="D159" s="53"/>
      <c r="F159" s="53"/>
      <c r="G159" s="5" t="s">
        <v>625</v>
      </c>
      <c r="H159" s="53">
        <v>930.05</v>
      </c>
      <c r="I159" s="6" t="s">
        <v>630</v>
      </c>
      <c r="J159" s="6"/>
    </row>
    <row r="160" s="5" customFormat="true" customHeight="true" spans="2:12">
      <c r="B160" s="6"/>
      <c r="D160" s="53"/>
      <c r="F160" s="53"/>
      <c r="G160" s="5" t="s">
        <v>625</v>
      </c>
      <c r="H160" s="53">
        <v>4444.82</v>
      </c>
      <c r="I160" s="6" t="s">
        <v>631</v>
      </c>
      <c r="J160" s="6"/>
      <c r="L160" s="11"/>
    </row>
    <row r="161" s="5" customFormat="true" customHeight="true" spans="2:11">
      <c r="B161" s="6"/>
      <c r="D161" s="53"/>
      <c r="F161" s="53"/>
      <c r="G161" s="5" t="s">
        <v>625</v>
      </c>
      <c r="H161" s="53">
        <v>2391.03</v>
      </c>
      <c r="I161" s="6" t="s">
        <v>632</v>
      </c>
      <c r="J161" s="6"/>
      <c r="K161" s="11"/>
    </row>
    <row r="162" s="11" customFormat="true" customHeight="true" spans="1:12">
      <c r="A162" s="5"/>
      <c r="B162" s="6"/>
      <c r="C162" s="5"/>
      <c r="D162" s="53"/>
      <c r="E162" s="5"/>
      <c r="F162" s="53"/>
      <c r="G162" s="5" t="s">
        <v>633</v>
      </c>
      <c r="H162" s="53">
        <v>13.4</v>
      </c>
      <c r="I162" s="6" t="s">
        <v>468</v>
      </c>
      <c r="J162" s="6"/>
      <c r="K162" s="5"/>
      <c r="L162" s="5"/>
    </row>
    <row r="163" s="5" customFormat="true" customHeight="true" spans="2:10">
      <c r="B163" s="6" t="s">
        <v>414</v>
      </c>
      <c r="C163" s="56" t="s">
        <v>634</v>
      </c>
      <c r="D163" s="57">
        <v>10000</v>
      </c>
      <c r="E163" s="56" t="s">
        <v>634</v>
      </c>
      <c r="F163" s="57">
        <v>69600</v>
      </c>
      <c r="H163" s="53"/>
      <c r="I163" s="6"/>
      <c r="J163" s="51"/>
    </row>
    <row r="164" s="5" customFormat="true" customHeight="true" spans="2:10">
      <c r="B164" s="6" t="s">
        <v>414</v>
      </c>
      <c r="C164" s="56" t="s">
        <v>635</v>
      </c>
      <c r="D164" s="57">
        <v>20000</v>
      </c>
      <c r="E164" s="56" t="s">
        <v>636</v>
      </c>
      <c r="F164" s="57">
        <v>20000</v>
      </c>
      <c r="H164" s="53"/>
      <c r="I164" s="55" t="s">
        <v>637</v>
      </c>
      <c r="J164" s="6"/>
    </row>
    <row r="165" s="5" customFormat="true" customHeight="true" spans="2:10">
      <c r="B165" s="55" t="s">
        <v>638</v>
      </c>
      <c r="C165" s="5" t="s">
        <v>639</v>
      </c>
      <c r="D165" s="53">
        <v>5940</v>
      </c>
      <c r="E165" s="5">
        <v>2021.1</v>
      </c>
      <c r="F165" s="53">
        <v>5940</v>
      </c>
      <c r="G165" s="5" t="s">
        <v>640</v>
      </c>
      <c r="H165" s="53">
        <v>5940</v>
      </c>
      <c r="I165" s="6"/>
      <c r="J165" s="6"/>
    </row>
    <row r="166" s="5" customFormat="true" customHeight="true" spans="1:10">
      <c r="A166" s="11">
        <v>23</v>
      </c>
      <c r="B166" s="51"/>
      <c r="C166" s="11"/>
      <c r="D166" s="54">
        <f>D169+D170+D173+D174+D175+D179+D180+D181+D182</f>
        <v>265350</v>
      </c>
      <c r="E166" s="54"/>
      <c r="F166" s="54">
        <f>F169+F170+F173+F174+F175+F180+F181+F182</f>
        <v>250350</v>
      </c>
      <c r="G166" s="54"/>
      <c r="H166" s="54">
        <f>SUM(H173:H212)+H169+H170</f>
        <v>269215</v>
      </c>
      <c r="I166" s="51"/>
      <c r="J166" s="6"/>
    </row>
    <row r="167" s="5" customFormat="true" customHeight="true" spans="2:10">
      <c r="B167" s="55" t="s">
        <v>638</v>
      </c>
      <c r="C167" s="56" t="s">
        <v>641</v>
      </c>
      <c r="D167" s="57">
        <v>12600</v>
      </c>
      <c r="E167" s="56" t="s">
        <v>642</v>
      </c>
      <c r="F167" s="60">
        <v>49400</v>
      </c>
      <c r="G167" s="56" t="s">
        <v>625</v>
      </c>
      <c r="H167" s="57">
        <v>12600</v>
      </c>
      <c r="I167" s="6" t="s">
        <v>643</v>
      </c>
      <c r="J167" s="6"/>
    </row>
    <row r="168" s="5" customFormat="true" customHeight="true" spans="2:10">
      <c r="B168" s="55" t="s">
        <v>638</v>
      </c>
      <c r="C168" s="56" t="s">
        <v>644</v>
      </c>
      <c r="D168" s="57">
        <v>6800</v>
      </c>
      <c r="E168" s="56"/>
      <c r="F168" s="60"/>
      <c r="G168" s="56" t="s">
        <v>625</v>
      </c>
      <c r="H168" s="57">
        <v>6800</v>
      </c>
      <c r="I168" s="6" t="s">
        <v>643</v>
      </c>
      <c r="J168" s="6"/>
    </row>
    <row r="169" s="5" customFormat="true" customHeight="true" spans="2:10">
      <c r="B169" s="55" t="s">
        <v>638</v>
      </c>
      <c r="C169" s="5" t="s">
        <v>576</v>
      </c>
      <c r="D169" s="53">
        <v>10900</v>
      </c>
      <c r="E169" s="5" t="s">
        <v>645</v>
      </c>
      <c r="F169" s="53">
        <v>40900</v>
      </c>
      <c r="G169" s="5" t="s">
        <v>625</v>
      </c>
      <c r="H169" s="53">
        <v>10900</v>
      </c>
      <c r="I169" s="6"/>
      <c r="J169" s="6"/>
    </row>
    <row r="170" s="5" customFormat="true" customHeight="true" spans="2:10">
      <c r="B170" s="55" t="s">
        <v>638</v>
      </c>
      <c r="C170" s="5" t="s">
        <v>646</v>
      </c>
      <c r="D170" s="53">
        <v>6000</v>
      </c>
      <c r="E170" s="5" t="s">
        <v>647</v>
      </c>
      <c r="F170" s="53">
        <v>6000</v>
      </c>
      <c r="G170" s="5" t="s">
        <v>648</v>
      </c>
      <c r="H170" s="53">
        <v>6000</v>
      </c>
      <c r="I170" s="6"/>
      <c r="J170" s="6"/>
    </row>
    <row r="171" s="5" customFormat="true" customHeight="true" spans="2:10">
      <c r="B171" s="55" t="s">
        <v>638</v>
      </c>
      <c r="C171" s="58" t="s">
        <v>646</v>
      </c>
      <c r="D171" s="59">
        <v>3944</v>
      </c>
      <c r="F171" s="53"/>
      <c r="G171" s="58" t="s">
        <v>648</v>
      </c>
      <c r="H171" s="59">
        <v>3944</v>
      </c>
      <c r="I171" s="55" t="s">
        <v>649</v>
      </c>
      <c r="J171" s="6"/>
    </row>
    <row r="172" s="5" customFormat="true" customHeight="true" spans="2:10">
      <c r="B172" s="55" t="s">
        <v>638</v>
      </c>
      <c r="C172" s="58" t="s">
        <v>650</v>
      </c>
      <c r="D172" s="59">
        <v>3900</v>
      </c>
      <c r="F172" s="53"/>
      <c r="G172" s="58" t="s">
        <v>651</v>
      </c>
      <c r="H172" s="59">
        <v>3900</v>
      </c>
      <c r="I172" s="55" t="s">
        <v>649</v>
      </c>
      <c r="J172" s="6"/>
    </row>
    <row r="173" s="5" customFormat="true" customHeight="true" spans="2:10">
      <c r="B173" s="55" t="s">
        <v>362</v>
      </c>
      <c r="C173" s="5" t="s">
        <v>534</v>
      </c>
      <c r="D173" s="53">
        <v>59600</v>
      </c>
      <c r="E173" s="5" t="s">
        <v>535</v>
      </c>
      <c r="F173" s="53">
        <v>44600</v>
      </c>
      <c r="G173" s="68" t="s">
        <v>652</v>
      </c>
      <c r="H173" s="53">
        <v>59600</v>
      </c>
      <c r="I173" s="6"/>
      <c r="J173" s="6"/>
    </row>
    <row r="174" s="5" customFormat="true" customHeight="true" spans="2:10">
      <c r="B174" s="55" t="s">
        <v>638</v>
      </c>
      <c r="C174" s="5" t="s">
        <v>410</v>
      </c>
      <c r="D174" s="53">
        <v>50850</v>
      </c>
      <c r="E174" s="5" t="s">
        <v>653</v>
      </c>
      <c r="F174" s="53">
        <v>50850</v>
      </c>
      <c r="G174" s="68" t="s">
        <v>652</v>
      </c>
      <c r="H174" s="53">
        <v>50850</v>
      </c>
      <c r="I174" s="6"/>
      <c r="J174" s="6"/>
    </row>
    <row r="175" s="5" customFormat="true" customHeight="true" spans="2:10">
      <c r="B175" s="6" t="s">
        <v>654</v>
      </c>
      <c r="C175" s="5" t="s">
        <v>655</v>
      </c>
      <c r="D175" s="53">
        <v>18000</v>
      </c>
      <c r="E175" s="5" t="s">
        <v>360</v>
      </c>
      <c r="F175" s="53">
        <v>18000</v>
      </c>
      <c r="G175" s="5" t="s">
        <v>656</v>
      </c>
      <c r="H175" s="53">
        <v>18000</v>
      </c>
      <c r="I175" s="6"/>
      <c r="J175" s="6"/>
    </row>
    <row r="176" s="5" customFormat="true" customHeight="true" spans="2:10">
      <c r="B176" s="6" t="s">
        <v>414</v>
      </c>
      <c r="C176" s="56" t="s">
        <v>657</v>
      </c>
      <c r="D176" s="57">
        <v>30000</v>
      </c>
      <c r="E176" s="56" t="s">
        <v>560</v>
      </c>
      <c r="F176" s="57">
        <v>34200</v>
      </c>
      <c r="G176" s="5" t="s">
        <v>625</v>
      </c>
      <c r="H176" s="53">
        <v>1334.18</v>
      </c>
      <c r="I176" s="6" t="s">
        <v>632</v>
      </c>
      <c r="J176" s="6"/>
    </row>
    <row r="177" s="5" customFormat="true" customHeight="true" spans="2:10">
      <c r="B177" s="6" t="s">
        <v>414</v>
      </c>
      <c r="C177" s="56" t="s">
        <v>658</v>
      </c>
      <c r="D177" s="57">
        <v>30000</v>
      </c>
      <c r="E177" s="56" t="s">
        <v>658</v>
      </c>
      <c r="F177" s="57">
        <v>30000</v>
      </c>
      <c r="G177" s="5" t="s">
        <v>625</v>
      </c>
      <c r="H177" s="53">
        <v>1224.72</v>
      </c>
      <c r="I177" s="6" t="s">
        <v>631</v>
      </c>
      <c r="J177" s="6"/>
    </row>
    <row r="178" s="5" customFormat="true" customHeight="true" spans="2:10">
      <c r="B178" s="6" t="s">
        <v>414</v>
      </c>
      <c r="C178" s="56" t="s">
        <v>659</v>
      </c>
      <c r="D178" s="57">
        <v>30000</v>
      </c>
      <c r="F178" s="53"/>
      <c r="G178" s="5" t="s">
        <v>625</v>
      </c>
      <c r="H178" s="53">
        <v>1859.06</v>
      </c>
      <c r="I178" s="6" t="s">
        <v>660</v>
      </c>
      <c r="J178" s="6"/>
    </row>
    <row r="179" s="5" customFormat="true" customHeight="true" spans="2:10">
      <c r="B179" s="6" t="s">
        <v>414</v>
      </c>
      <c r="C179" s="5" t="s">
        <v>607</v>
      </c>
      <c r="D179" s="53">
        <v>30000</v>
      </c>
      <c r="F179" s="53"/>
      <c r="G179" s="5" t="s">
        <v>625</v>
      </c>
      <c r="H179" s="53">
        <v>2655.87</v>
      </c>
      <c r="I179" s="6" t="s">
        <v>661</v>
      </c>
      <c r="J179" s="6"/>
    </row>
    <row r="180" s="5" customFormat="true" customHeight="true" spans="2:10">
      <c r="B180" s="6" t="s">
        <v>414</v>
      </c>
      <c r="C180" s="5" t="s">
        <v>607</v>
      </c>
      <c r="D180" s="53">
        <v>30000</v>
      </c>
      <c r="E180" s="5" t="s">
        <v>645</v>
      </c>
      <c r="F180" s="53">
        <v>30000</v>
      </c>
      <c r="G180" s="5" t="s">
        <v>625</v>
      </c>
      <c r="H180" s="53">
        <v>2214.44</v>
      </c>
      <c r="I180" s="6" t="s">
        <v>630</v>
      </c>
      <c r="J180" s="6"/>
    </row>
    <row r="181" s="5" customFormat="true" customHeight="true" spans="2:10">
      <c r="B181" s="6" t="s">
        <v>414</v>
      </c>
      <c r="C181" s="5" t="s">
        <v>570</v>
      </c>
      <c r="D181" s="53">
        <v>30000</v>
      </c>
      <c r="E181" s="5" t="s">
        <v>530</v>
      </c>
      <c r="F181" s="53">
        <v>30000</v>
      </c>
      <c r="G181" s="5" t="s">
        <v>625</v>
      </c>
      <c r="H181" s="53">
        <v>1836.38</v>
      </c>
      <c r="I181" s="6" t="s">
        <v>627</v>
      </c>
      <c r="J181" s="6"/>
    </row>
    <row r="182" s="5" customFormat="true" customHeight="true" spans="2:10">
      <c r="B182" s="6" t="s">
        <v>414</v>
      </c>
      <c r="C182" s="5" t="s">
        <v>570</v>
      </c>
      <c r="D182" s="53">
        <v>30000</v>
      </c>
      <c r="E182" s="5" t="s">
        <v>530</v>
      </c>
      <c r="F182" s="53">
        <v>30000</v>
      </c>
      <c r="G182" s="5" t="s">
        <v>625</v>
      </c>
      <c r="H182" s="53">
        <v>2377.59</v>
      </c>
      <c r="I182" s="6" t="s">
        <v>662</v>
      </c>
      <c r="J182" s="6"/>
    </row>
    <row r="183" s="5" customFormat="true" customHeight="true" spans="2:10">
      <c r="B183" s="6"/>
      <c r="D183" s="53"/>
      <c r="F183" s="53"/>
      <c r="G183" s="5" t="s">
        <v>625</v>
      </c>
      <c r="H183" s="53">
        <v>4649.65</v>
      </c>
      <c r="I183" s="6" t="s">
        <v>663</v>
      </c>
      <c r="J183" s="6"/>
    </row>
    <row r="184" s="5" customFormat="true" customHeight="true" spans="2:10">
      <c r="B184" s="6"/>
      <c r="D184" s="53"/>
      <c r="F184" s="53"/>
      <c r="G184" s="5" t="s">
        <v>625</v>
      </c>
      <c r="H184" s="53">
        <v>4964.24</v>
      </c>
      <c r="I184" s="6" t="s">
        <v>629</v>
      </c>
      <c r="J184" s="6"/>
    </row>
    <row r="185" s="5" customFormat="true" customHeight="true" spans="7:10">
      <c r="G185" s="5" t="s">
        <v>625</v>
      </c>
      <c r="H185" s="53">
        <v>3965.94</v>
      </c>
      <c r="I185" s="6" t="s">
        <v>664</v>
      </c>
      <c r="J185" s="6"/>
    </row>
    <row r="186" s="5" customFormat="true" customHeight="true" spans="2:10">
      <c r="B186" s="6"/>
      <c r="D186" s="53"/>
      <c r="F186" s="53"/>
      <c r="G186" s="5" t="s">
        <v>625</v>
      </c>
      <c r="H186" s="53">
        <v>3150.82</v>
      </c>
      <c r="I186" s="6" t="s">
        <v>627</v>
      </c>
      <c r="J186" s="6"/>
    </row>
    <row r="187" s="5" customFormat="true" customHeight="true" spans="2:10">
      <c r="B187" s="6"/>
      <c r="D187" s="53"/>
      <c r="F187" s="53"/>
      <c r="G187" s="5" t="s">
        <v>625</v>
      </c>
      <c r="H187" s="53">
        <v>3920.31</v>
      </c>
      <c r="I187" s="6" t="s">
        <v>632</v>
      </c>
      <c r="J187" s="6"/>
    </row>
    <row r="188" s="5" customFormat="true" customHeight="true" spans="2:10">
      <c r="B188" s="6"/>
      <c r="D188" s="53"/>
      <c r="F188" s="53"/>
      <c r="G188" s="5" t="s">
        <v>625</v>
      </c>
      <c r="H188" s="53">
        <v>4326.7</v>
      </c>
      <c r="I188" s="6" t="s">
        <v>626</v>
      </c>
      <c r="J188" s="6"/>
    </row>
    <row r="189" s="5" customFormat="true" customHeight="true" spans="2:10">
      <c r="B189" s="6"/>
      <c r="D189" s="53"/>
      <c r="F189" s="53"/>
      <c r="G189" s="5" t="s">
        <v>625</v>
      </c>
      <c r="H189" s="53">
        <v>4707.02</v>
      </c>
      <c r="I189" s="6" t="s">
        <v>631</v>
      </c>
      <c r="J189" s="6"/>
    </row>
    <row r="190" s="5" customFormat="true" customHeight="true" spans="2:10">
      <c r="B190" s="6"/>
      <c r="D190" s="53"/>
      <c r="F190" s="53"/>
      <c r="G190" s="5" t="s">
        <v>633</v>
      </c>
      <c r="H190" s="53">
        <v>2642.12</v>
      </c>
      <c r="I190" s="6" t="s">
        <v>468</v>
      </c>
      <c r="J190" s="6"/>
    </row>
    <row r="191" s="5" customFormat="true" customHeight="true" spans="2:10">
      <c r="B191" s="6"/>
      <c r="D191" s="53"/>
      <c r="F191" s="53"/>
      <c r="G191" s="5" t="s">
        <v>633</v>
      </c>
      <c r="H191" s="53">
        <v>3975.06</v>
      </c>
      <c r="I191" s="6" t="s">
        <v>468</v>
      </c>
      <c r="J191" s="6"/>
    </row>
    <row r="192" s="5" customFormat="true" customHeight="true" spans="2:10">
      <c r="B192" s="6"/>
      <c r="D192" s="53"/>
      <c r="F192" s="53"/>
      <c r="G192" s="5" t="s">
        <v>665</v>
      </c>
      <c r="H192" s="53">
        <v>2131.48</v>
      </c>
      <c r="I192" s="6" t="s">
        <v>666</v>
      </c>
      <c r="J192" s="6"/>
    </row>
    <row r="193" s="5" customFormat="true" customHeight="true" spans="2:10">
      <c r="B193" s="6"/>
      <c r="D193" s="53"/>
      <c r="F193" s="53"/>
      <c r="G193" s="5" t="s">
        <v>665</v>
      </c>
      <c r="H193" s="53">
        <v>3319.74</v>
      </c>
      <c r="I193" s="6" t="s">
        <v>667</v>
      </c>
      <c r="J193" s="6"/>
    </row>
    <row r="194" s="5" customFormat="true" customHeight="true" spans="2:10">
      <c r="B194" s="6"/>
      <c r="D194" s="53"/>
      <c r="F194" s="53"/>
      <c r="G194" s="5" t="s">
        <v>668</v>
      </c>
      <c r="H194" s="53">
        <v>2035.11</v>
      </c>
      <c r="I194" s="6" t="s">
        <v>669</v>
      </c>
      <c r="J194" s="6"/>
    </row>
    <row r="195" s="5" customFormat="true" customHeight="true" spans="2:10">
      <c r="B195" s="6"/>
      <c r="D195" s="53"/>
      <c r="F195" s="53"/>
      <c r="G195" s="5" t="s">
        <v>668</v>
      </c>
      <c r="H195" s="53">
        <v>3459.71</v>
      </c>
      <c r="I195" s="6" t="s">
        <v>669</v>
      </c>
      <c r="J195" s="6"/>
    </row>
    <row r="196" s="5" customFormat="true" customHeight="true" spans="2:10">
      <c r="B196" s="6"/>
      <c r="D196" s="53"/>
      <c r="F196" s="53"/>
      <c r="G196" s="68" t="s">
        <v>670</v>
      </c>
      <c r="H196" s="53">
        <v>10737.12</v>
      </c>
      <c r="I196" s="6" t="s">
        <v>671</v>
      </c>
      <c r="J196" s="6"/>
    </row>
    <row r="197" s="5" customFormat="true" customHeight="true" spans="2:10">
      <c r="B197" s="6"/>
      <c r="D197" s="53"/>
      <c r="F197" s="53"/>
      <c r="G197" s="68" t="s">
        <v>670</v>
      </c>
      <c r="H197" s="53">
        <v>1575.58</v>
      </c>
      <c r="I197" s="6" t="s">
        <v>671</v>
      </c>
      <c r="J197" s="6"/>
    </row>
    <row r="198" s="5" customFormat="true" customHeight="true" spans="2:10">
      <c r="B198" s="6"/>
      <c r="D198" s="53"/>
      <c r="F198" s="53"/>
      <c r="G198" s="68" t="s">
        <v>462</v>
      </c>
      <c r="H198" s="53">
        <v>1815.6</v>
      </c>
      <c r="I198" s="6" t="s">
        <v>672</v>
      </c>
      <c r="J198" s="6"/>
    </row>
    <row r="199" s="5" customFormat="true" customHeight="true" spans="2:10">
      <c r="B199" s="6"/>
      <c r="D199" s="53"/>
      <c r="F199" s="53"/>
      <c r="G199" s="5" t="s">
        <v>462</v>
      </c>
      <c r="H199" s="53">
        <v>4642.26</v>
      </c>
      <c r="I199" s="6" t="s">
        <v>672</v>
      </c>
      <c r="J199" s="6"/>
    </row>
    <row r="200" s="5" customFormat="true" customHeight="true" spans="2:10">
      <c r="B200" s="6"/>
      <c r="D200" s="53"/>
      <c r="F200" s="53"/>
      <c r="G200" s="5" t="s">
        <v>539</v>
      </c>
      <c r="H200" s="53">
        <v>2076.85</v>
      </c>
      <c r="I200" s="6" t="s">
        <v>673</v>
      </c>
      <c r="J200" s="6"/>
    </row>
    <row r="201" s="5" customFormat="true" customHeight="true" spans="2:10">
      <c r="B201" s="6"/>
      <c r="D201" s="53"/>
      <c r="F201" s="53"/>
      <c r="G201" s="5" t="s">
        <v>539</v>
      </c>
      <c r="H201" s="53">
        <v>3871.5</v>
      </c>
      <c r="I201" s="6" t="s">
        <v>673</v>
      </c>
      <c r="J201" s="6"/>
    </row>
    <row r="202" s="5" customFormat="true" customHeight="true" spans="2:10">
      <c r="B202" s="6"/>
      <c r="D202" s="53"/>
      <c r="F202" s="53"/>
      <c r="G202" s="5" t="s">
        <v>656</v>
      </c>
      <c r="H202" s="53">
        <v>1274.18</v>
      </c>
      <c r="I202" s="6" t="s">
        <v>674</v>
      </c>
      <c r="J202" s="6"/>
    </row>
    <row r="203" s="5" customFormat="true" customHeight="true" spans="2:10">
      <c r="B203" s="6"/>
      <c r="D203" s="53"/>
      <c r="F203" s="53"/>
      <c r="G203" s="5" t="s">
        <v>656</v>
      </c>
      <c r="H203" s="53">
        <v>5030.74</v>
      </c>
      <c r="I203" s="6" t="s">
        <v>472</v>
      </c>
      <c r="J203" s="6"/>
    </row>
    <row r="204" s="5" customFormat="true" customHeight="true" spans="2:10">
      <c r="B204" s="6"/>
      <c r="D204" s="53"/>
      <c r="F204" s="53"/>
      <c r="G204" s="5" t="s">
        <v>675</v>
      </c>
      <c r="H204" s="53">
        <v>4621.62</v>
      </c>
      <c r="I204" s="6" t="s">
        <v>481</v>
      </c>
      <c r="J204" s="6"/>
    </row>
    <row r="205" s="5" customFormat="true" customHeight="true" spans="2:10">
      <c r="B205" s="6"/>
      <c r="D205" s="53"/>
      <c r="F205" s="53"/>
      <c r="G205" s="5" t="s">
        <v>676</v>
      </c>
      <c r="H205" s="53">
        <v>2696.42</v>
      </c>
      <c r="I205" s="6" t="s">
        <v>481</v>
      </c>
      <c r="J205" s="6"/>
    </row>
    <row r="206" s="5" customFormat="true" customHeight="true" spans="2:10">
      <c r="B206" s="6"/>
      <c r="D206" s="53"/>
      <c r="F206" s="53"/>
      <c r="G206" s="5" t="s">
        <v>677</v>
      </c>
      <c r="H206" s="53">
        <v>1640.59</v>
      </c>
      <c r="I206" s="6" t="s">
        <v>476</v>
      </c>
      <c r="J206" s="6"/>
    </row>
    <row r="207" s="5" customFormat="true" customHeight="true" spans="2:12">
      <c r="B207" s="6"/>
      <c r="D207" s="53"/>
      <c r="F207" s="53"/>
      <c r="G207" s="5" t="s">
        <v>677</v>
      </c>
      <c r="H207" s="53">
        <v>3448.88</v>
      </c>
      <c r="I207" s="6" t="s">
        <v>476</v>
      </c>
      <c r="J207" s="6"/>
      <c r="L207" s="11"/>
    </row>
    <row r="208" s="5" customFormat="true" customHeight="true" spans="2:11">
      <c r="B208" s="6"/>
      <c r="D208" s="53"/>
      <c r="F208" s="53"/>
      <c r="G208" s="5" t="s">
        <v>378</v>
      </c>
      <c r="H208" s="53">
        <v>2127.82</v>
      </c>
      <c r="I208" s="6" t="s">
        <v>480</v>
      </c>
      <c r="J208" s="6"/>
      <c r="K208" s="11"/>
    </row>
    <row r="209" s="11" customFormat="true" customHeight="true" spans="1:12">
      <c r="A209" s="5"/>
      <c r="B209" s="6"/>
      <c r="C209" s="5"/>
      <c r="D209" s="53"/>
      <c r="E209" s="5"/>
      <c r="F209" s="53"/>
      <c r="G209" s="5" t="s">
        <v>378</v>
      </c>
      <c r="H209" s="53">
        <v>6372.93</v>
      </c>
      <c r="I209" s="6" t="s">
        <v>480</v>
      </c>
      <c r="J209" s="6"/>
      <c r="K209" s="5"/>
      <c r="L209" s="5"/>
    </row>
    <row r="210" s="5" customFormat="true" customHeight="true" spans="2:10">
      <c r="B210" s="6"/>
      <c r="D210" s="53"/>
      <c r="F210" s="53"/>
      <c r="G210" s="5" t="s">
        <v>482</v>
      </c>
      <c r="H210" s="53">
        <v>1314.17</v>
      </c>
      <c r="I210" s="6" t="s">
        <v>469</v>
      </c>
      <c r="J210" s="51"/>
    </row>
    <row r="211" s="5" customFormat="true" customHeight="true" spans="2:10">
      <c r="B211" s="6"/>
      <c r="D211" s="53"/>
      <c r="F211" s="53"/>
      <c r="G211" s="5" t="s">
        <v>482</v>
      </c>
      <c r="H211" s="53">
        <v>4826.26</v>
      </c>
      <c r="I211" s="6" t="s">
        <v>469</v>
      </c>
      <c r="J211" s="6"/>
    </row>
    <row r="212" s="5" customFormat="true" customHeight="true" spans="2:10">
      <c r="B212" s="6"/>
      <c r="D212" s="53"/>
      <c r="F212" s="53"/>
      <c r="G212" s="5" t="s">
        <v>678</v>
      </c>
      <c r="H212" s="53">
        <v>5042.34</v>
      </c>
      <c r="I212" s="6" t="s">
        <v>474</v>
      </c>
      <c r="J212" s="6"/>
    </row>
    <row r="213" s="5" customFormat="true" customHeight="true" spans="1:10">
      <c r="A213" s="11">
        <v>24</v>
      </c>
      <c r="B213" s="51"/>
      <c r="C213" s="11"/>
      <c r="D213" s="54">
        <f>SUM(D214:D221)</f>
        <v>611282</v>
      </c>
      <c r="E213" s="54"/>
      <c r="F213" s="54">
        <f>SUM(F214:F223)</f>
        <v>611142</v>
      </c>
      <c r="G213" s="54"/>
      <c r="H213" s="54">
        <f t="shared" ref="H213" si="12">SUM(H214:H223)</f>
        <v>563843.41</v>
      </c>
      <c r="I213" s="51"/>
      <c r="J213" s="6"/>
    </row>
    <row r="214" s="5" customFormat="true" customHeight="true" spans="2:10">
      <c r="B214" s="55" t="s">
        <v>638</v>
      </c>
      <c r="C214" s="5" t="s">
        <v>576</v>
      </c>
      <c r="D214" s="53">
        <v>72400</v>
      </c>
      <c r="E214" s="5" t="s">
        <v>607</v>
      </c>
      <c r="F214" s="53">
        <v>72400</v>
      </c>
      <c r="G214" s="5" t="s">
        <v>647</v>
      </c>
      <c r="H214" s="53">
        <v>72400</v>
      </c>
      <c r="I214" s="6"/>
      <c r="J214" s="6"/>
    </row>
    <row r="215" s="5" customFormat="true" customHeight="true" spans="2:10">
      <c r="B215" s="55" t="s">
        <v>638</v>
      </c>
      <c r="C215" s="5" t="s">
        <v>679</v>
      </c>
      <c r="D215" s="53">
        <v>350140</v>
      </c>
      <c r="E215" s="5" t="s">
        <v>680</v>
      </c>
      <c r="F215" s="53">
        <v>350000</v>
      </c>
      <c r="G215" s="5" t="s">
        <v>591</v>
      </c>
      <c r="H215" s="53">
        <v>350140</v>
      </c>
      <c r="I215" s="6"/>
      <c r="J215" s="6"/>
    </row>
    <row r="216" s="5" customFormat="true" customHeight="true" spans="2:10">
      <c r="B216" s="55" t="s">
        <v>638</v>
      </c>
      <c r="C216" s="5" t="s">
        <v>681</v>
      </c>
      <c r="D216" s="53">
        <v>15752</v>
      </c>
      <c r="E216" s="5" t="s">
        <v>682</v>
      </c>
      <c r="F216" s="53">
        <v>15752</v>
      </c>
      <c r="G216" s="5" t="s">
        <v>683</v>
      </c>
      <c r="H216" s="53">
        <v>15752</v>
      </c>
      <c r="I216" s="6"/>
      <c r="J216" s="6"/>
    </row>
    <row r="217" s="5" customFormat="true" customHeight="true" spans="2:12">
      <c r="B217" s="55" t="s">
        <v>638</v>
      </c>
      <c r="C217" s="5" t="s">
        <v>684</v>
      </c>
      <c r="D217" s="53">
        <v>92990</v>
      </c>
      <c r="E217" s="5" t="s">
        <v>491</v>
      </c>
      <c r="F217" s="53">
        <v>92990</v>
      </c>
      <c r="G217" s="5" t="s">
        <v>683</v>
      </c>
      <c r="H217" s="53">
        <v>92990</v>
      </c>
      <c r="I217" s="6"/>
      <c r="J217" s="6"/>
      <c r="L217" s="11"/>
    </row>
    <row r="218" s="5" customFormat="true" customHeight="true" spans="2:12">
      <c r="B218" s="6" t="s">
        <v>414</v>
      </c>
      <c r="C218" s="5" t="s">
        <v>625</v>
      </c>
      <c r="D218" s="53">
        <v>50000</v>
      </c>
      <c r="E218" s="5" t="s">
        <v>625</v>
      </c>
      <c r="F218" s="53">
        <v>50000</v>
      </c>
      <c r="G218" s="5" t="s">
        <v>685</v>
      </c>
      <c r="H218" s="53">
        <v>6990.01</v>
      </c>
      <c r="I218" s="6" t="s">
        <v>476</v>
      </c>
      <c r="J218" s="6"/>
      <c r="K218" s="70"/>
      <c r="L218" s="8"/>
    </row>
    <row r="219" s="11" customFormat="true" customHeight="true" spans="1:12">
      <c r="A219" s="5"/>
      <c r="B219" s="6" t="s">
        <v>414</v>
      </c>
      <c r="C219" s="5" t="s">
        <v>686</v>
      </c>
      <c r="D219" s="53">
        <v>10000</v>
      </c>
      <c r="E219" s="5" t="s">
        <v>686</v>
      </c>
      <c r="F219" s="53">
        <v>10000</v>
      </c>
      <c r="G219" s="5" t="s">
        <v>685</v>
      </c>
      <c r="H219" s="53">
        <v>5220.43</v>
      </c>
      <c r="I219" s="6" t="s">
        <v>481</v>
      </c>
      <c r="J219" s="6"/>
      <c r="K219" s="5"/>
      <c r="L219" s="8"/>
    </row>
    <row r="220" customHeight="true" spans="2:10">
      <c r="B220" s="6" t="s">
        <v>414</v>
      </c>
      <c r="C220" s="5" t="s">
        <v>687</v>
      </c>
      <c r="D220" s="53">
        <v>10000</v>
      </c>
      <c r="E220" s="5" t="s">
        <v>687</v>
      </c>
      <c r="F220" s="53">
        <v>10000</v>
      </c>
      <c r="G220" s="5" t="s">
        <v>688</v>
      </c>
      <c r="H220" s="53">
        <v>4084.42</v>
      </c>
      <c r="J220" s="71"/>
    </row>
    <row r="221" customHeight="true" spans="2:10">
      <c r="B221" s="6" t="s">
        <v>414</v>
      </c>
      <c r="C221" s="5" t="s">
        <v>482</v>
      </c>
      <c r="D221" s="53">
        <v>10000</v>
      </c>
      <c r="E221" s="5" t="s">
        <v>482</v>
      </c>
      <c r="F221" s="53">
        <v>10000</v>
      </c>
      <c r="G221" s="5" t="s">
        <v>688</v>
      </c>
      <c r="H221" s="53">
        <v>7559.21</v>
      </c>
      <c r="J221" s="6"/>
    </row>
    <row r="222" customHeight="true" spans="2:10">
      <c r="B222" s="6" t="s">
        <v>414</v>
      </c>
      <c r="C222" s="58" t="s">
        <v>689</v>
      </c>
      <c r="D222" s="59">
        <v>10000</v>
      </c>
      <c r="F222" s="53"/>
      <c r="G222" s="5" t="s">
        <v>688</v>
      </c>
      <c r="H222" s="53">
        <v>3621.33</v>
      </c>
      <c r="I222" s="55" t="s">
        <v>690</v>
      </c>
      <c r="J222" s="6"/>
    </row>
    <row r="223" customHeight="true" spans="4:10">
      <c r="D223" s="53"/>
      <c r="F223" s="53"/>
      <c r="G223" s="5" t="s">
        <v>688</v>
      </c>
      <c r="H223" s="53">
        <v>5086.01</v>
      </c>
      <c r="J223" s="6"/>
    </row>
    <row r="224" customHeight="true" spans="1:9">
      <c r="A224" s="11">
        <v>25</v>
      </c>
      <c r="B224" s="51"/>
      <c r="C224" s="11"/>
      <c r="D224" s="52">
        <f>D227+D228+D230</f>
        <v>49800</v>
      </c>
      <c r="E224" s="52"/>
      <c r="F224" s="52">
        <f>F227+F230</f>
        <v>49800</v>
      </c>
      <c r="G224" s="54"/>
      <c r="H224" s="54">
        <f>H227+H228+H229</f>
        <v>51638.8</v>
      </c>
      <c r="I224" s="51"/>
    </row>
    <row r="225" customHeight="true" spans="2:12">
      <c r="B225" s="55" t="s">
        <v>362</v>
      </c>
      <c r="C225" s="56" t="s">
        <v>691</v>
      </c>
      <c r="D225" s="57">
        <v>29800</v>
      </c>
      <c r="E225" s="56" t="s">
        <v>692</v>
      </c>
      <c r="F225" s="57">
        <v>39800</v>
      </c>
      <c r="G225" s="56" t="s">
        <v>693</v>
      </c>
      <c r="H225" s="57">
        <v>29800</v>
      </c>
      <c r="L225" s="7"/>
    </row>
    <row r="226" customHeight="true" spans="2:11">
      <c r="B226" s="6" t="s">
        <v>414</v>
      </c>
      <c r="C226" s="56" t="s">
        <v>375</v>
      </c>
      <c r="D226" s="57">
        <v>10000</v>
      </c>
      <c r="E226" s="56" t="s">
        <v>375</v>
      </c>
      <c r="F226" s="57">
        <v>10000</v>
      </c>
      <c r="G226" s="56" t="s">
        <v>594</v>
      </c>
      <c r="H226" s="57">
        <v>11034.77</v>
      </c>
      <c r="I226" s="6" t="s">
        <v>694</v>
      </c>
      <c r="K226" s="11"/>
    </row>
    <row r="227" s="7" customFormat="true" customHeight="true" spans="1:12">
      <c r="A227" s="5"/>
      <c r="B227" s="55" t="s">
        <v>362</v>
      </c>
      <c r="C227" s="5" t="s">
        <v>370</v>
      </c>
      <c r="D227" s="53">
        <v>29800</v>
      </c>
      <c r="E227" s="5" t="s">
        <v>695</v>
      </c>
      <c r="F227" s="61">
        <v>39800</v>
      </c>
      <c r="G227" s="5" t="s">
        <v>696</v>
      </c>
      <c r="H227" s="53">
        <v>29800</v>
      </c>
      <c r="I227" s="6"/>
      <c r="J227" s="8"/>
      <c r="K227" s="5"/>
      <c r="L227" s="8"/>
    </row>
    <row r="228" customHeight="true" spans="2:10">
      <c r="B228" s="6" t="s">
        <v>414</v>
      </c>
      <c r="C228" s="5" t="s">
        <v>620</v>
      </c>
      <c r="D228" s="53">
        <v>10000</v>
      </c>
      <c r="F228" s="61"/>
      <c r="G228" s="5" t="s">
        <v>570</v>
      </c>
      <c r="H228" s="53">
        <v>6354.32</v>
      </c>
      <c r="J228" s="7"/>
    </row>
    <row r="229" customHeight="true" spans="2:10">
      <c r="B229" s="6" t="s">
        <v>414</v>
      </c>
      <c r="C229" s="58" t="s">
        <v>401</v>
      </c>
      <c r="D229" s="59">
        <v>10000</v>
      </c>
      <c r="F229" s="53"/>
      <c r="G229" s="5" t="s">
        <v>471</v>
      </c>
      <c r="H229" s="53">
        <v>15484.48</v>
      </c>
      <c r="I229" s="55" t="s">
        <v>690</v>
      </c>
      <c r="J229" s="8" t="s">
        <v>697</v>
      </c>
    </row>
    <row r="230" customHeight="true" spans="2:8">
      <c r="B230" s="6" t="s">
        <v>414</v>
      </c>
      <c r="C230" s="5" t="s">
        <v>698</v>
      </c>
      <c r="D230" s="53">
        <v>10000</v>
      </c>
      <c r="E230" s="5" t="s">
        <v>699</v>
      </c>
      <c r="F230" s="53">
        <v>10000</v>
      </c>
      <c r="H230" s="53"/>
    </row>
    <row r="231" customHeight="true" spans="1:9">
      <c r="A231" s="11">
        <v>26</v>
      </c>
      <c r="B231" s="51"/>
      <c r="C231" s="11"/>
      <c r="D231" s="54">
        <f>D233+D237+D239</f>
        <v>88300</v>
      </c>
      <c r="E231" s="54"/>
      <c r="F231" s="54">
        <f>F233+F234+F237+F239</f>
        <v>88300</v>
      </c>
      <c r="G231" s="54"/>
      <c r="H231" s="54">
        <f>H233+H237+H239</f>
        <v>88300</v>
      </c>
      <c r="I231" s="51"/>
    </row>
    <row r="232" customHeight="true" spans="2:9">
      <c r="B232" s="6" t="s">
        <v>700</v>
      </c>
      <c r="C232" s="63" t="s">
        <v>677</v>
      </c>
      <c r="D232" s="64">
        <v>17156</v>
      </c>
      <c r="E232" s="63" t="s">
        <v>701</v>
      </c>
      <c r="F232" s="64">
        <v>17156</v>
      </c>
      <c r="G232" s="63" t="s">
        <v>702</v>
      </c>
      <c r="H232" s="64">
        <v>17156</v>
      </c>
      <c r="I232" s="55"/>
    </row>
    <row r="233" customHeight="true" spans="2:8">
      <c r="B233" s="6" t="s">
        <v>703</v>
      </c>
      <c r="C233" s="5" t="s">
        <v>677</v>
      </c>
      <c r="D233" s="53">
        <v>46500</v>
      </c>
      <c r="E233" s="5" t="s">
        <v>521</v>
      </c>
      <c r="F233" s="53">
        <v>27900</v>
      </c>
      <c r="G233" s="5" t="s">
        <v>602</v>
      </c>
      <c r="H233" s="53">
        <f>10000*4+6500</f>
        <v>46500</v>
      </c>
    </row>
    <row r="234" customHeight="true" spans="4:8">
      <c r="D234" s="53"/>
      <c r="E234" s="5" t="s">
        <v>602</v>
      </c>
      <c r="F234" s="53">
        <v>18600</v>
      </c>
      <c r="H234" s="53"/>
    </row>
    <row r="235" customHeight="true" spans="2:9">
      <c r="B235" s="6" t="s">
        <v>704</v>
      </c>
      <c r="C235" s="58" t="s">
        <v>705</v>
      </c>
      <c r="D235" s="59">
        <v>580</v>
      </c>
      <c r="F235" s="53"/>
      <c r="G235" s="58" t="s">
        <v>555</v>
      </c>
      <c r="H235" s="59">
        <v>580</v>
      </c>
      <c r="I235" s="55" t="s">
        <v>690</v>
      </c>
    </row>
    <row r="236" customHeight="true" spans="2:9">
      <c r="B236" s="55" t="s">
        <v>706</v>
      </c>
      <c r="C236" s="58" t="s">
        <v>707</v>
      </c>
      <c r="D236" s="59">
        <v>21600</v>
      </c>
      <c r="E236" s="58" t="s">
        <v>538</v>
      </c>
      <c r="F236" s="59">
        <v>21600</v>
      </c>
      <c r="G236" s="58" t="s">
        <v>429</v>
      </c>
      <c r="H236" s="59">
        <f>9000*2+3600</f>
        <v>21600</v>
      </c>
      <c r="I236" s="6" t="s">
        <v>708</v>
      </c>
    </row>
    <row r="237" customHeight="true" spans="2:9">
      <c r="B237" s="55" t="s">
        <v>709</v>
      </c>
      <c r="C237" s="5" t="s">
        <v>670</v>
      </c>
      <c r="D237" s="53">
        <v>12000</v>
      </c>
      <c r="E237" s="5" t="s">
        <v>530</v>
      </c>
      <c r="F237" s="53">
        <v>12000</v>
      </c>
      <c r="G237" s="5" t="s">
        <v>710</v>
      </c>
      <c r="H237" s="53">
        <v>12000</v>
      </c>
      <c r="I237" s="6" t="s">
        <v>711</v>
      </c>
    </row>
    <row r="238" customHeight="true" spans="2:8">
      <c r="B238" s="55" t="s">
        <v>712</v>
      </c>
      <c r="C238" s="58" t="s">
        <v>713</v>
      </c>
      <c r="D238" s="59">
        <v>10500</v>
      </c>
      <c r="E238" s="58" t="s">
        <v>538</v>
      </c>
      <c r="F238" s="59">
        <v>10500</v>
      </c>
      <c r="G238" s="58" t="s">
        <v>714</v>
      </c>
      <c r="H238" s="59">
        <f>5250*2</f>
        <v>10500</v>
      </c>
    </row>
    <row r="239" customHeight="true" spans="2:8">
      <c r="B239" s="55" t="s">
        <v>362</v>
      </c>
      <c r="C239" s="5" t="s">
        <v>715</v>
      </c>
      <c r="D239" s="53">
        <v>29800</v>
      </c>
      <c r="E239" s="5" t="s">
        <v>530</v>
      </c>
      <c r="F239" s="53">
        <v>29800</v>
      </c>
      <c r="G239" s="5" t="s">
        <v>555</v>
      </c>
      <c r="H239" s="53">
        <v>29800</v>
      </c>
    </row>
    <row r="240" customHeight="true" spans="2:9">
      <c r="B240" s="6" t="s">
        <v>716</v>
      </c>
      <c r="D240" s="53"/>
      <c r="E240" s="58" t="s">
        <v>717</v>
      </c>
      <c r="F240" s="59">
        <v>2300</v>
      </c>
      <c r="G240" s="58" t="s">
        <v>718</v>
      </c>
      <c r="H240" s="59">
        <v>2300</v>
      </c>
      <c r="I240" s="55" t="s">
        <v>577</v>
      </c>
    </row>
    <row r="241" customHeight="true" spans="2:12">
      <c r="B241" s="6" t="s">
        <v>719</v>
      </c>
      <c r="C241" s="10">
        <f>D236+D238</f>
        <v>32100</v>
      </c>
      <c r="D241" s="53"/>
      <c r="F241" s="53"/>
      <c r="G241" s="58" t="s">
        <v>633</v>
      </c>
      <c r="H241" s="59">
        <v>2597.94</v>
      </c>
      <c r="I241" s="55" t="s">
        <v>720</v>
      </c>
      <c r="L241" s="7"/>
    </row>
    <row r="242" customHeight="true" spans="2:11">
      <c r="B242" s="6" t="s">
        <v>721</v>
      </c>
      <c r="C242" s="10">
        <v>7372.92</v>
      </c>
      <c r="D242" s="53"/>
      <c r="F242" s="53"/>
      <c r="G242" s="58" t="s">
        <v>722</v>
      </c>
      <c r="H242" s="59">
        <v>238.98</v>
      </c>
      <c r="I242" s="55" t="s">
        <v>720</v>
      </c>
      <c r="K242" s="11"/>
    </row>
    <row r="243" s="7" customFormat="true" customHeight="true" spans="1:12">
      <c r="A243" s="5"/>
      <c r="B243" s="6" t="s">
        <v>723</v>
      </c>
      <c r="C243" s="10">
        <v>580</v>
      </c>
      <c r="D243" s="53"/>
      <c r="E243" s="5"/>
      <c r="F243" s="53"/>
      <c r="G243" s="58" t="s">
        <v>722</v>
      </c>
      <c r="H243" s="59">
        <v>219</v>
      </c>
      <c r="I243" s="55" t="s">
        <v>720</v>
      </c>
      <c r="J243" s="8"/>
      <c r="K243" s="5"/>
      <c r="L243" s="8"/>
    </row>
    <row r="244" customHeight="true" spans="2:10">
      <c r="B244" s="6" t="s">
        <v>724</v>
      </c>
      <c r="C244" s="10"/>
      <c r="D244" s="53"/>
      <c r="F244" s="53"/>
      <c r="G244" s="58" t="s">
        <v>427</v>
      </c>
      <c r="H244" s="59">
        <v>700</v>
      </c>
      <c r="I244" s="55" t="s">
        <v>720</v>
      </c>
      <c r="J244" s="7"/>
    </row>
    <row r="245" customHeight="true" spans="2:9">
      <c r="B245" s="6" t="s">
        <v>725</v>
      </c>
      <c r="D245" s="53"/>
      <c r="F245" s="53"/>
      <c r="G245" s="58" t="s">
        <v>726</v>
      </c>
      <c r="H245" s="59">
        <v>799</v>
      </c>
      <c r="I245" s="55" t="s">
        <v>720</v>
      </c>
    </row>
    <row r="246" customHeight="true" spans="2:9">
      <c r="B246" s="6" t="s">
        <v>727</v>
      </c>
      <c r="D246" s="53"/>
      <c r="F246" s="53"/>
      <c r="G246" s="58" t="s">
        <v>728</v>
      </c>
      <c r="H246" s="59">
        <v>518</v>
      </c>
      <c r="I246" s="55" t="s">
        <v>720</v>
      </c>
    </row>
    <row r="247" customHeight="true" spans="1:9">
      <c r="A247" s="11">
        <v>27</v>
      </c>
      <c r="B247" s="51"/>
      <c r="C247" s="11"/>
      <c r="D247" s="54">
        <f>SUM(D249:D257)</f>
        <v>280000</v>
      </c>
      <c r="E247" s="54"/>
      <c r="F247" s="54">
        <f>SUM(F249:F255)</f>
        <v>260000</v>
      </c>
      <c r="G247" s="54"/>
      <c r="H247" s="54">
        <f>SUM(H249:H261)</f>
        <v>229914.78</v>
      </c>
      <c r="I247" s="51"/>
    </row>
    <row r="248" customHeight="true" spans="2:9">
      <c r="B248" s="55" t="s">
        <v>362</v>
      </c>
      <c r="C248" s="58" t="s">
        <v>729</v>
      </c>
      <c r="D248" s="59">
        <v>29800</v>
      </c>
      <c r="E248" s="58" t="s">
        <v>489</v>
      </c>
      <c r="F248" s="59">
        <v>29800</v>
      </c>
      <c r="H248" s="53"/>
      <c r="I248" s="55" t="s">
        <v>730</v>
      </c>
    </row>
    <row r="249" customHeight="true" spans="2:8">
      <c r="B249" s="55" t="s">
        <v>362</v>
      </c>
      <c r="C249" s="5" t="s">
        <v>731</v>
      </c>
      <c r="D249" s="53">
        <v>160000</v>
      </c>
      <c r="E249" s="5" t="s">
        <v>412</v>
      </c>
      <c r="F249" s="53">
        <v>160000</v>
      </c>
      <c r="G249" s="5" t="s">
        <v>710</v>
      </c>
      <c r="H249" s="53">
        <v>160000</v>
      </c>
    </row>
    <row r="250" customHeight="true" spans="2:9">
      <c r="B250" s="6" t="s">
        <v>414</v>
      </c>
      <c r="C250" s="5" t="s">
        <v>732</v>
      </c>
      <c r="D250" s="53">
        <v>10000</v>
      </c>
      <c r="E250" s="5" t="s">
        <v>733</v>
      </c>
      <c r="F250" s="53">
        <v>10000</v>
      </c>
      <c r="G250" s="5" t="s">
        <v>734</v>
      </c>
      <c r="H250" s="53">
        <v>10564.7</v>
      </c>
      <c r="I250" s="6" t="s">
        <v>735</v>
      </c>
    </row>
    <row r="251" customHeight="true" spans="2:9">
      <c r="B251" s="6" t="s">
        <v>414</v>
      </c>
      <c r="C251" s="5" t="s">
        <v>736</v>
      </c>
      <c r="D251" s="53">
        <v>10000</v>
      </c>
      <c r="E251" s="5" t="s">
        <v>736</v>
      </c>
      <c r="F251" s="53">
        <v>10000</v>
      </c>
      <c r="G251" s="5" t="s">
        <v>737</v>
      </c>
      <c r="H251" s="53">
        <v>6944.89</v>
      </c>
      <c r="I251" s="6" t="s">
        <v>735</v>
      </c>
    </row>
    <row r="252" customHeight="true" spans="2:9">
      <c r="B252" s="6" t="s">
        <v>414</v>
      </c>
      <c r="C252" s="5" t="s">
        <v>738</v>
      </c>
      <c r="D252" s="53">
        <v>30000</v>
      </c>
      <c r="E252" s="5" t="s">
        <v>489</v>
      </c>
      <c r="F252" s="53">
        <v>30000</v>
      </c>
      <c r="G252" s="5" t="s">
        <v>739</v>
      </c>
      <c r="H252" s="53">
        <v>5206.59</v>
      </c>
      <c r="I252" s="6" t="s">
        <v>663</v>
      </c>
    </row>
    <row r="253" customHeight="true" spans="2:9">
      <c r="B253" s="6" t="s">
        <v>414</v>
      </c>
      <c r="C253" s="5" t="s">
        <v>740</v>
      </c>
      <c r="D253" s="53">
        <v>10000</v>
      </c>
      <c r="E253" s="5" t="s">
        <v>548</v>
      </c>
      <c r="F253" s="53">
        <v>10000</v>
      </c>
      <c r="G253" s="5" t="s">
        <v>739</v>
      </c>
      <c r="H253" s="53">
        <v>4129.81</v>
      </c>
      <c r="I253" s="6" t="s">
        <v>629</v>
      </c>
    </row>
    <row r="254" customHeight="true" spans="2:9">
      <c r="B254" s="6" t="s">
        <v>414</v>
      </c>
      <c r="C254" s="5" t="s">
        <v>741</v>
      </c>
      <c r="D254" s="53">
        <v>30000</v>
      </c>
      <c r="E254" s="68" t="s">
        <v>741</v>
      </c>
      <c r="F254" s="53">
        <v>30000</v>
      </c>
      <c r="G254" s="5" t="s">
        <v>376</v>
      </c>
      <c r="H254" s="53">
        <v>4791.01</v>
      </c>
      <c r="I254" s="6" t="s">
        <v>663</v>
      </c>
    </row>
    <row r="255" customHeight="true" spans="2:12">
      <c r="B255" s="6" t="s">
        <v>414</v>
      </c>
      <c r="C255" s="5" t="s">
        <v>742</v>
      </c>
      <c r="D255" s="53">
        <v>30000</v>
      </c>
      <c r="E255" s="5" t="s">
        <v>455</v>
      </c>
      <c r="F255" s="53">
        <v>10000</v>
      </c>
      <c r="G255" s="5" t="s">
        <v>535</v>
      </c>
      <c r="H255" s="53">
        <v>5306.61</v>
      </c>
      <c r="I255" s="6" t="s">
        <v>743</v>
      </c>
      <c r="L255" s="7"/>
    </row>
    <row r="256" customHeight="true" spans="4:12">
      <c r="D256" s="53"/>
      <c r="E256" s="58" t="s">
        <v>412</v>
      </c>
      <c r="F256" s="59">
        <v>40000</v>
      </c>
      <c r="G256" s="5" t="s">
        <v>536</v>
      </c>
      <c r="H256" s="53">
        <v>9307.48</v>
      </c>
      <c r="I256" s="6" t="s">
        <v>743</v>
      </c>
      <c r="L256" s="7"/>
    </row>
    <row r="257" customHeight="true" spans="4:11">
      <c r="D257" s="53"/>
      <c r="F257" s="53"/>
      <c r="G257" s="68" t="s">
        <v>670</v>
      </c>
      <c r="H257" s="53">
        <v>4760.13</v>
      </c>
      <c r="I257" s="6" t="s">
        <v>744</v>
      </c>
      <c r="K257" s="11"/>
    </row>
    <row r="258" s="7" customFormat="true" customHeight="true" spans="1:12">
      <c r="A258" s="5"/>
      <c r="B258" s="6"/>
      <c r="C258" s="5"/>
      <c r="D258" s="53"/>
      <c r="E258" s="5"/>
      <c r="F258" s="53"/>
      <c r="G258" s="68" t="s">
        <v>707</v>
      </c>
      <c r="H258" s="53">
        <v>6382.37</v>
      </c>
      <c r="I258" s="6" t="s">
        <v>744</v>
      </c>
      <c r="J258" s="8"/>
      <c r="K258" s="5"/>
      <c r="L258" s="8"/>
    </row>
    <row r="259" customHeight="true" spans="3:10">
      <c r="C259" s="68"/>
      <c r="D259" s="53"/>
      <c r="F259" s="53"/>
      <c r="G259" s="5" t="s">
        <v>527</v>
      </c>
      <c r="H259" s="53">
        <v>7186</v>
      </c>
      <c r="I259" s="6" t="s">
        <v>745</v>
      </c>
      <c r="J259" s="7"/>
    </row>
    <row r="260" customHeight="true" spans="4:9">
      <c r="D260" s="53"/>
      <c r="F260" s="53"/>
      <c r="G260" s="5" t="s">
        <v>527</v>
      </c>
      <c r="H260" s="53">
        <v>3251.86</v>
      </c>
      <c r="I260" s="6" t="s">
        <v>672</v>
      </c>
    </row>
    <row r="261" customHeight="true" spans="4:9">
      <c r="D261" s="53"/>
      <c r="F261" s="53"/>
      <c r="G261" s="5" t="s">
        <v>746</v>
      </c>
      <c r="H261" s="53">
        <v>2083.33</v>
      </c>
      <c r="I261" s="6" t="s">
        <v>673</v>
      </c>
    </row>
    <row r="262" customHeight="true" spans="1:9">
      <c r="A262" s="11">
        <v>28</v>
      </c>
      <c r="B262" s="51"/>
      <c r="C262" s="11"/>
      <c r="D262" s="54">
        <f>SUM(D263:D282)</f>
        <v>250000</v>
      </c>
      <c r="E262" s="54"/>
      <c r="F262" s="54">
        <f>SUM(F263:F281)</f>
        <v>250000</v>
      </c>
      <c r="G262" s="54"/>
      <c r="H262" s="54">
        <f>SUM(H263:H282)</f>
        <v>246502.72</v>
      </c>
      <c r="I262" s="51"/>
    </row>
    <row r="263" customHeight="true" spans="2:8">
      <c r="B263" s="55" t="s">
        <v>362</v>
      </c>
      <c r="C263" s="5" t="s">
        <v>747</v>
      </c>
      <c r="D263" s="53">
        <v>80000</v>
      </c>
      <c r="E263" s="5" t="s">
        <v>489</v>
      </c>
      <c r="F263" s="53">
        <v>90000</v>
      </c>
      <c r="G263" s="5" t="s">
        <v>748</v>
      </c>
      <c r="H263" s="53">
        <v>80000</v>
      </c>
    </row>
    <row r="264" customHeight="true" spans="2:8">
      <c r="B264" s="55" t="s">
        <v>362</v>
      </c>
      <c r="C264" s="5" t="s">
        <v>749</v>
      </c>
      <c r="D264" s="53">
        <v>80000</v>
      </c>
      <c r="E264" s="5" t="s">
        <v>750</v>
      </c>
      <c r="F264" s="53">
        <v>90000</v>
      </c>
      <c r="G264" s="5" t="s">
        <v>381</v>
      </c>
      <c r="H264" s="53">
        <v>80000</v>
      </c>
    </row>
    <row r="265" customHeight="true" spans="2:9">
      <c r="B265" s="6" t="s">
        <v>414</v>
      </c>
      <c r="C265" s="5" t="s">
        <v>751</v>
      </c>
      <c r="D265" s="53">
        <v>10000</v>
      </c>
      <c r="E265" s="5" t="s">
        <v>752</v>
      </c>
      <c r="F265" s="53">
        <v>10000</v>
      </c>
      <c r="G265" s="5" t="s">
        <v>737</v>
      </c>
      <c r="H265" s="53">
        <v>4049.46</v>
      </c>
      <c r="I265" s="6" t="s">
        <v>735</v>
      </c>
    </row>
    <row r="266" customHeight="true" spans="2:9">
      <c r="B266" s="6" t="s">
        <v>414</v>
      </c>
      <c r="C266" s="5" t="s">
        <v>753</v>
      </c>
      <c r="D266" s="53">
        <v>10000</v>
      </c>
      <c r="F266" s="53"/>
      <c r="G266" s="5" t="s">
        <v>754</v>
      </c>
      <c r="H266" s="53">
        <v>880.1</v>
      </c>
      <c r="I266" s="6" t="s">
        <v>663</v>
      </c>
    </row>
    <row r="267" customHeight="true" spans="2:9">
      <c r="B267" s="6" t="s">
        <v>414</v>
      </c>
      <c r="C267" s="5" t="s">
        <v>372</v>
      </c>
      <c r="D267" s="53">
        <v>10000</v>
      </c>
      <c r="E267" s="5" t="s">
        <v>372</v>
      </c>
      <c r="F267" s="53">
        <v>10000</v>
      </c>
      <c r="G267" s="5" t="s">
        <v>754</v>
      </c>
      <c r="H267" s="53">
        <v>5298.38</v>
      </c>
      <c r="I267" s="6" t="s">
        <v>629</v>
      </c>
    </row>
    <row r="268" customHeight="true" spans="2:9">
      <c r="B268" s="6" t="s">
        <v>414</v>
      </c>
      <c r="C268" s="5" t="s">
        <v>755</v>
      </c>
      <c r="D268" s="53">
        <v>10000</v>
      </c>
      <c r="E268" s="5" t="s">
        <v>756</v>
      </c>
      <c r="F268" s="53">
        <v>10000</v>
      </c>
      <c r="G268" s="5" t="s">
        <v>757</v>
      </c>
      <c r="H268" s="53">
        <v>6123.5</v>
      </c>
      <c r="I268" s="6" t="s">
        <v>627</v>
      </c>
    </row>
    <row r="269" customHeight="true" spans="2:9">
      <c r="B269" s="6" t="s">
        <v>414</v>
      </c>
      <c r="C269" s="5" t="s">
        <v>758</v>
      </c>
      <c r="D269" s="53">
        <v>10000</v>
      </c>
      <c r="E269" s="5" t="s">
        <v>758</v>
      </c>
      <c r="F269" s="53">
        <v>10000</v>
      </c>
      <c r="G269" s="5" t="s">
        <v>759</v>
      </c>
      <c r="H269" s="53">
        <v>3749.15</v>
      </c>
      <c r="I269" s="6" t="s">
        <v>664</v>
      </c>
    </row>
    <row r="270" customHeight="true" spans="2:9">
      <c r="B270" s="6" t="s">
        <v>414</v>
      </c>
      <c r="C270" s="5" t="s">
        <v>656</v>
      </c>
      <c r="D270" s="53">
        <v>10000</v>
      </c>
      <c r="E270" s="5" t="s">
        <v>760</v>
      </c>
      <c r="F270" s="53">
        <v>10000</v>
      </c>
      <c r="G270" s="5" t="s">
        <v>761</v>
      </c>
      <c r="H270" s="53">
        <v>2623.24</v>
      </c>
      <c r="I270" s="6" t="s">
        <v>626</v>
      </c>
    </row>
    <row r="271" customHeight="true" spans="2:9">
      <c r="B271" s="6" t="s">
        <v>414</v>
      </c>
      <c r="C271" s="5" t="s">
        <v>762</v>
      </c>
      <c r="D271" s="53">
        <v>10000</v>
      </c>
      <c r="E271" s="5" t="s">
        <v>763</v>
      </c>
      <c r="F271" s="53">
        <v>10000</v>
      </c>
      <c r="G271" s="5" t="s">
        <v>764</v>
      </c>
      <c r="H271" s="53">
        <v>6194.76</v>
      </c>
      <c r="I271" s="6" t="s">
        <v>468</v>
      </c>
    </row>
    <row r="272" customHeight="true" spans="2:9">
      <c r="B272" s="6" t="s">
        <v>414</v>
      </c>
      <c r="C272" s="5" t="s">
        <v>765</v>
      </c>
      <c r="D272" s="53">
        <v>10000</v>
      </c>
      <c r="G272" s="5" t="s">
        <v>755</v>
      </c>
      <c r="H272" s="53">
        <v>7267.71</v>
      </c>
      <c r="I272" s="6" t="s">
        <v>666</v>
      </c>
    </row>
    <row r="273" customHeight="true" spans="2:9">
      <c r="B273" s="6" t="s">
        <v>414</v>
      </c>
      <c r="C273" s="5" t="s">
        <v>416</v>
      </c>
      <c r="D273" s="53">
        <v>10000</v>
      </c>
      <c r="E273" s="5" t="s">
        <v>416</v>
      </c>
      <c r="F273" s="53">
        <v>10000</v>
      </c>
      <c r="G273" s="5" t="s">
        <v>400</v>
      </c>
      <c r="H273" s="53">
        <v>5468.98</v>
      </c>
      <c r="I273" s="6" t="s">
        <v>669</v>
      </c>
    </row>
    <row r="274" customHeight="true" spans="4:9">
      <c r="D274" s="53"/>
      <c r="E274" s="8"/>
      <c r="G274" s="68" t="s">
        <v>766</v>
      </c>
      <c r="H274" s="53">
        <v>6090.08</v>
      </c>
      <c r="I274" s="6" t="s">
        <v>671</v>
      </c>
    </row>
    <row r="275" customHeight="true" spans="4:9">
      <c r="D275" s="53"/>
      <c r="E275" s="8"/>
      <c r="G275" s="5" t="s">
        <v>680</v>
      </c>
      <c r="H275" s="53">
        <v>1658.31</v>
      </c>
      <c r="I275" s="6" t="s">
        <v>672</v>
      </c>
    </row>
    <row r="276" customHeight="true" spans="4:9">
      <c r="D276" s="53"/>
      <c r="E276" s="8"/>
      <c r="G276" s="5" t="s">
        <v>530</v>
      </c>
      <c r="H276" s="53">
        <v>4784.5</v>
      </c>
      <c r="I276" s="6" t="s">
        <v>673</v>
      </c>
    </row>
    <row r="277" customHeight="true" spans="4:12">
      <c r="D277" s="53"/>
      <c r="E277" s="8"/>
      <c r="G277" s="5" t="s">
        <v>760</v>
      </c>
      <c r="H277" s="53">
        <v>5123.55</v>
      </c>
      <c r="I277" s="6" t="s">
        <v>674</v>
      </c>
      <c r="L277" s="7"/>
    </row>
    <row r="278" customHeight="true" spans="4:11">
      <c r="D278" s="53"/>
      <c r="E278" s="8"/>
      <c r="G278" s="5" t="s">
        <v>767</v>
      </c>
      <c r="H278" s="53">
        <v>1354.55</v>
      </c>
      <c r="I278" s="6" t="s">
        <v>481</v>
      </c>
      <c r="K278" s="11"/>
    </row>
    <row r="279" s="7" customFormat="true" customHeight="true" spans="1:12">
      <c r="A279" s="5"/>
      <c r="B279" s="6"/>
      <c r="C279" s="5"/>
      <c r="D279" s="53"/>
      <c r="G279" s="5" t="s">
        <v>768</v>
      </c>
      <c r="H279" s="53">
        <v>4978.39</v>
      </c>
      <c r="I279" s="6" t="s">
        <v>769</v>
      </c>
      <c r="J279" s="8"/>
      <c r="K279" s="5"/>
      <c r="L279" s="8"/>
    </row>
    <row r="280" customHeight="true" spans="4:10">
      <c r="D280" s="53"/>
      <c r="E280" s="8"/>
      <c r="G280" s="5" t="s">
        <v>378</v>
      </c>
      <c r="H280" s="53">
        <v>8335.27</v>
      </c>
      <c r="I280" s="6" t="s">
        <v>770</v>
      </c>
      <c r="J280" s="7"/>
    </row>
    <row r="281" customHeight="true" spans="4:9">
      <c r="D281" s="53"/>
      <c r="E281" s="8"/>
      <c r="G281" s="5" t="s">
        <v>471</v>
      </c>
      <c r="H281" s="53">
        <v>8844.96</v>
      </c>
      <c r="I281" s="6" t="s">
        <v>469</v>
      </c>
    </row>
    <row r="282" customHeight="true" spans="4:9">
      <c r="D282" s="53"/>
      <c r="E282" s="8"/>
      <c r="G282" s="5" t="s">
        <v>678</v>
      </c>
      <c r="H282" s="53">
        <v>3677.83</v>
      </c>
      <c r="I282" s="6" t="s">
        <v>474</v>
      </c>
    </row>
    <row r="283" customHeight="true" spans="1:9">
      <c r="A283" s="11">
        <v>30</v>
      </c>
      <c r="B283" s="51"/>
      <c r="C283" s="11"/>
      <c r="D283" s="54"/>
      <c r="E283" s="14"/>
      <c r="F283" s="14">
        <f>SUM(F284:F312)-F305</f>
        <v>1083063.61</v>
      </c>
      <c r="G283" s="11"/>
      <c r="H283" s="14">
        <f>SUM(H284:H312)-H298-H305-H306</f>
        <v>1083388.61</v>
      </c>
      <c r="I283" s="69"/>
    </row>
    <row r="284" customHeight="true" spans="2:9">
      <c r="B284" s="6" t="s">
        <v>771</v>
      </c>
      <c r="C284" s="5" t="s">
        <v>772</v>
      </c>
      <c r="D284" s="61" t="s">
        <v>773</v>
      </c>
      <c r="E284" s="5" t="s">
        <v>530</v>
      </c>
      <c r="F284" s="53">
        <v>30000</v>
      </c>
      <c r="G284" s="5" t="s">
        <v>774</v>
      </c>
      <c r="H284" s="53">
        <f t="shared" ref="H284:H290" si="13">10000*3</f>
        <v>30000</v>
      </c>
      <c r="I284" s="6" t="s">
        <v>775</v>
      </c>
    </row>
    <row r="285" customHeight="true" spans="2:9">
      <c r="B285" s="6" t="s">
        <v>771</v>
      </c>
      <c r="C285" s="5" t="s">
        <v>776</v>
      </c>
      <c r="D285" s="61" t="s">
        <v>773</v>
      </c>
      <c r="E285" s="5" t="s">
        <v>777</v>
      </c>
      <c r="F285" s="53">
        <v>30000</v>
      </c>
      <c r="G285" s="5" t="s">
        <v>455</v>
      </c>
      <c r="H285" s="53">
        <f t="shared" si="13"/>
        <v>30000</v>
      </c>
      <c r="I285" s="6" t="s">
        <v>778</v>
      </c>
    </row>
    <row r="286" customHeight="true" spans="5:9">
      <c r="E286" s="68" t="s">
        <v>779</v>
      </c>
      <c r="F286" s="53">
        <v>30000</v>
      </c>
      <c r="G286" s="68" t="s">
        <v>780</v>
      </c>
      <c r="H286" s="53">
        <f t="shared" si="13"/>
        <v>30000</v>
      </c>
      <c r="I286" s="6" t="s">
        <v>781</v>
      </c>
    </row>
    <row r="287" customHeight="true" spans="5:9">
      <c r="E287" s="5" t="s">
        <v>782</v>
      </c>
      <c r="F287" s="53">
        <v>30000</v>
      </c>
      <c r="G287" s="5" t="s">
        <v>783</v>
      </c>
      <c r="H287" s="53">
        <f t="shared" si="13"/>
        <v>30000</v>
      </c>
      <c r="I287" s="6" t="s">
        <v>784</v>
      </c>
    </row>
    <row r="288" customHeight="true" spans="4:9">
      <c r="D288" s="61"/>
      <c r="E288" s="5" t="s">
        <v>785</v>
      </c>
      <c r="F288" s="53">
        <v>30000</v>
      </c>
      <c r="G288" s="68" t="s">
        <v>786</v>
      </c>
      <c r="H288" s="53">
        <f t="shared" si="13"/>
        <v>30000</v>
      </c>
      <c r="I288" s="6" t="s">
        <v>787</v>
      </c>
    </row>
    <row r="289" s="8" customFormat="true" customHeight="true" spans="2:9">
      <c r="B289" s="6"/>
      <c r="C289" s="5"/>
      <c r="D289" s="53"/>
      <c r="E289" s="5" t="s">
        <v>788</v>
      </c>
      <c r="F289" s="53">
        <v>30000</v>
      </c>
      <c r="G289" s="5" t="s">
        <v>789</v>
      </c>
      <c r="H289" s="53">
        <f t="shared" si="13"/>
        <v>30000</v>
      </c>
      <c r="I289" s="6" t="s">
        <v>790</v>
      </c>
    </row>
    <row r="290" s="8" customFormat="true" customHeight="true" spans="2:9">
      <c r="B290" s="6"/>
      <c r="C290" s="5"/>
      <c r="D290" s="53"/>
      <c r="E290" s="5" t="s">
        <v>791</v>
      </c>
      <c r="F290" s="53">
        <v>30000</v>
      </c>
      <c r="G290" s="5" t="s">
        <v>792</v>
      </c>
      <c r="H290" s="53">
        <f t="shared" si="13"/>
        <v>30000</v>
      </c>
      <c r="I290" s="6" t="s">
        <v>793</v>
      </c>
    </row>
    <row r="291" s="8" customFormat="true" customHeight="true" spans="2:9">
      <c r="B291" s="6"/>
      <c r="C291" s="5"/>
      <c r="D291" s="53"/>
      <c r="E291" s="5" t="s">
        <v>722</v>
      </c>
      <c r="F291" s="53">
        <v>30000</v>
      </c>
      <c r="G291" s="5" t="s">
        <v>503</v>
      </c>
      <c r="H291" s="53">
        <f>10000*9</f>
        <v>90000</v>
      </c>
      <c r="I291" s="6" t="s">
        <v>794</v>
      </c>
    </row>
    <row r="292" s="8" customFormat="true" customHeight="true" spans="2:9">
      <c r="B292" s="6"/>
      <c r="C292" s="5"/>
      <c r="D292" s="53"/>
      <c r="E292" s="5" t="s">
        <v>795</v>
      </c>
      <c r="F292" s="53">
        <v>30000</v>
      </c>
      <c r="G292" s="5" t="s">
        <v>796</v>
      </c>
      <c r="H292" s="53">
        <f>10000*3</f>
        <v>30000</v>
      </c>
      <c r="I292" s="6" t="s">
        <v>797</v>
      </c>
    </row>
    <row r="293" s="8" customFormat="true" customHeight="true" spans="2:9">
      <c r="B293" s="6"/>
      <c r="C293" s="5"/>
      <c r="D293" s="53"/>
      <c r="E293" s="5" t="s">
        <v>754</v>
      </c>
      <c r="F293" s="53">
        <v>30000</v>
      </c>
      <c r="G293" s="5"/>
      <c r="H293" s="53"/>
      <c r="I293" s="6" t="s">
        <v>798</v>
      </c>
    </row>
    <row r="294" s="8" customFormat="true" customHeight="true" spans="2:9">
      <c r="B294" s="6"/>
      <c r="C294" s="5"/>
      <c r="D294" s="53"/>
      <c r="E294" s="5" t="s">
        <v>799</v>
      </c>
      <c r="F294" s="53">
        <v>30000</v>
      </c>
      <c r="G294" s="5"/>
      <c r="H294" s="53"/>
      <c r="I294" s="6" t="s">
        <v>800</v>
      </c>
    </row>
    <row r="295" s="8" customFormat="true" customHeight="true" spans="2:9">
      <c r="B295" s="6"/>
      <c r="C295" s="5"/>
      <c r="D295" s="53"/>
      <c r="E295" s="5" t="s">
        <v>801</v>
      </c>
      <c r="F295" s="53">
        <v>30000</v>
      </c>
      <c r="G295" s="5" t="s">
        <v>802</v>
      </c>
      <c r="H295" s="53">
        <f>10000*3</f>
        <v>30000</v>
      </c>
      <c r="I295" s="6" t="s">
        <v>803</v>
      </c>
    </row>
    <row r="296" s="8" customFormat="true" customHeight="true" spans="2:9">
      <c r="B296" s="6"/>
      <c r="C296" s="5"/>
      <c r="D296" s="53"/>
      <c r="E296" s="5" t="s">
        <v>765</v>
      </c>
      <c r="F296" s="53">
        <v>30000</v>
      </c>
      <c r="G296" s="5" t="s">
        <v>357</v>
      </c>
      <c r="H296" s="53">
        <f>10000*3</f>
        <v>30000</v>
      </c>
      <c r="I296" s="6" t="s">
        <v>804</v>
      </c>
    </row>
    <row r="297" s="8" customFormat="true" customHeight="true" spans="2:9">
      <c r="B297" s="6"/>
      <c r="C297" s="5"/>
      <c r="D297" s="53"/>
      <c r="E297" s="5" t="s">
        <v>805</v>
      </c>
      <c r="F297" s="53">
        <v>30000</v>
      </c>
      <c r="G297" s="5" t="s">
        <v>806</v>
      </c>
      <c r="H297" s="53">
        <f>10000*3</f>
        <v>30000</v>
      </c>
      <c r="I297" s="6" t="s">
        <v>807</v>
      </c>
    </row>
    <row r="298" s="8" customFormat="true" customHeight="true" spans="2:9">
      <c r="B298" s="6"/>
      <c r="C298" s="5"/>
      <c r="D298" s="53"/>
      <c r="E298" s="5"/>
      <c r="F298" s="53"/>
      <c r="G298" s="58" t="s">
        <v>473</v>
      </c>
      <c r="H298" s="59">
        <f>10000*3</f>
        <v>30000</v>
      </c>
      <c r="I298" s="6" t="s">
        <v>808</v>
      </c>
    </row>
    <row r="299" s="8" customFormat="true" customHeight="true" spans="2:9">
      <c r="B299" s="6"/>
      <c r="C299" s="5"/>
      <c r="D299" s="53"/>
      <c r="E299" s="5" t="s">
        <v>699</v>
      </c>
      <c r="F299" s="53">
        <v>30000</v>
      </c>
      <c r="G299" s="5" t="s">
        <v>677</v>
      </c>
      <c r="H299" s="53">
        <f t="shared" ref="H299:H301" si="14">10000*3</f>
        <v>30000</v>
      </c>
      <c r="I299" s="6" t="s">
        <v>809</v>
      </c>
    </row>
    <row r="300" s="8" customFormat="true" customHeight="true" spans="2:9">
      <c r="B300" s="6"/>
      <c r="C300" s="5"/>
      <c r="D300" s="53"/>
      <c r="E300" s="5" t="s">
        <v>810</v>
      </c>
      <c r="F300" s="53">
        <v>30000</v>
      </c>
      <c r="G300" s="5" t="s">
        <v>499</v>
      </c>
      <c r="H300" s="53">
        <f t="shared" si="14"/>
        <v>30000</v>
      </c>
      <c r="I300" s="6" t="s">
        <v>811</v>
      </c>
    </row>
    <row r="301" s="8" customFormat="true" customHeight="true" spans="2:9">
      <c r="B301" s="6"/>
      <c r="C301" s="5"/>
      <c r="D301" s="53"/>
      <c r="E301" s="5" t="s">
        <v>598</v>
      </c>
      <c r="F301" s="53">
        <v>30000</v>
      </c>
      <c r="G301" s="5" t="s">
        <v>812</v>
      </c>
      <c r="H301" s="53">
        <f t="shared" si="14"/>
        <v>30000</v>
      </c>
      <c r="I301" s="6" t="s">
        <v>813</v>
      </c>
    </row>
    <row r="302" s="8" customFormat="true" customHeight="true" spans="2:9">
      <c r="B302" s="6" t="s">
        <v>814</v>
      </c>
      <c r="C302" s="5" t="s">
        <v>815</v>
      </c>
      <c r="D302" s="53">
        <v>65000</v>
      </c>
      <c r="E302" s="5" t="s">
        <v>431</v>
      </c>
      <c r="F302" s="53">
        <v>65000</v>
      </c>
      <c r="G302" s="5" t="s">
        <v>418</v>
      </c>
      <c r="H302" s="53">
        <v>32825</v>
      </c>
      <c r="I302" s="6"/>
    </row>
    <row r="303" s="8" customFormat="true" customHeight="true" spans="2:9">
      <c r="B303" s="6"/>
      <c r="C303" s="5"/>
      <c r="D303" s="53"/>
      <c r="E303" s="5"/>
      <c r="F303" s="53"/>
      <c r="G303" s="5" t="s">
        <v>816</v>
      </c>
      <c r="H303" s="53">
        <v>32500</v>
      </c>
      <c r="I303" s="6"/>
    </row>
    <row r="304" s="8" customFormat="true" customHeight="true" spans="2:9">
      <c r="B304" s="6"/>
      <c r="C304" s="5"/>
      <c r="D304" s="53"/>
      <c r="E304" s="5" t="s">
        <v>598</v>
      </c>
      <c r="F304" s="53">
        <v>19500</v>
      </c>
      <c r="G304" s="5" t="s">
        <v>760</v>
      </c>
      <c r="H304" s="53">
        <v>19500</v>
      </c>
      <c r="I304" s="6"/>
    </row>
    <row r="305" customHeight="true" spans="2:9">
      <c r="B305" s="6" t="s">
        <v>817</v>
      </c>
      <c r="C305" s="63" t="s">
        <v>818</v>
      </c>
      <c r="D305" s="72" t="s">
        <v>819</v>
      </c>
      <c r="E305" s="63" t="s">
        <v>820</v>
      </c>
      <c r="F305" s="64">
        <v>147695.85</v>
      </c>
      <c r="G305" s="63" t="s">
        <v>821</v>
      </c>
      <c r="H305" s="64">
        <v>100000</v>
      </c>
      <c r="I305" s="6" t="s">
        <v>822</v>
      </c>
    </row>
    <row r="306" customHeight="true" spans="4:9">
      <c r="D306" s="53"/>
      <c r="F306" s="53"/>
      <c r="G306" s="56" t="s">
        <v>823</v>
      </c>
      <c r="H306" s="57">
        <v>47695.85</v>
      </c>
      <c r="I306" s="55"/>
    </row>
    <row r="307" customHeight="true" spans="4:9">
      <c r="D307" s="53"/>
      <c r="E307" s="5" t="s">
        <v>519</v>
      </c>
      <c r="F307" s="53">
        <v>48131.61</v>
      </c>
      <c r="G307" s="5" t="s">
        <v>483</v>
      </c>
      <c r="H307" s="53">
        <v>48131.61</v>
      </c>
      <c r="I307" s="6" t="s">
        <v>824</v>
      </c>
    </row>
    <row r="308" customHeight="true" spans="4:9">
      <c r="D308" s="53"/>
      <c r="E308" s="5" t="s">
        <v>699</v>
      </c>
      <c r="F308" s="53">
        <v>26355.7</v>
      </c>
      <c r="G308" s="5" t="s">
        <v>825</v>
      </c>
      <c r="H308" s="53">
        <v>26355.7</v>
      </c>
      <c r="I308" s="6" t="s">
        <v>775</v>
      </c>
    </row>
    <row r="309" customHeight="true" spans="2:9">
      <c r="B309" s="6" t="s">
        <v>826</v>
      </c>
      <c r="C309" s="5" t="s">
        <v>827</v>
      </c>
      <c r="D309" s="61" t="s">
        <v>828</v>
      </c>
      <c r="E309" s="5" t="s">
        <v>829</v>
      </c>
      <c r="F309" s="53">
        <v>80000</v>
      </c>
      <c r="G309" s="5" t="s">
        <v>717</v>
      </c>
      <c r="H309" s="53">
        <v>80000</v>
      </c>
      <c r="I309" s="6" t="s">
        <v>830</v>
      </c>
    </row>
    <row r="310" customHeight="true" spans="4:9">
      <c r="D310" s="53"/>
      <c r="E310" s="5" t="s">
        <v>633</v>
      </c>
      <c r="F310" s="53">
        <v>198066.62</v>
      </c>
      <c r="G310" s="5" t="s">
        <v>625</v>
      </c>
      <c r="H310" s="53">
        <v>198066.62</v>
      </c>
      <c r="I310" s="6" t="s">
        <v>830</v>
      </c>
    </row>
    <row r="311" customHeight="true" spans="4:9">
      <c r="D311" s="53"/>
      <c r="E311" s="5" t="s">
        <v>831</v>
      </c>
      <c r="F311" s="53">
        <v>50000</v>
      </c>
      <c r="G311" s="5" t="s">
        <v>832</v>
      </c>
      <c r="H311" s="53">
        <v>50000</v>
      </c>
      <c r="I311" s="6" t="s">
        <v>833</v>
      </c>
    </row>
    <row r="312" customHeight="true" spans="4:12">
      <c r="D312" s="53"/>
      <c r="E312" s="5" t="s">
        <v>812</v>
      </c>
      <c r="F312" s="53">
        <v>86009.68</v>
      </c>
      <c r="G312" s="5" t="s">
        <v>834</v>
      </c>
      <c r="H312" s="53">
        <v>86009.68</v>
      </c>
      <c r="I312" s="6" t="s">
        <v>830</v>
      </c>
      <c r="L312" s="7"/>
    </row>
    <row r="313" customHeight="true" spans="2:11">
      <c r="B313" s="6" t="s">
        <v>835</v>
      </c>
      <c r="D313" s="61"/>
      <c r="E313" s="58" t="s">
        <v>836</v>
      </c>
      <c r="F313" s="59">
        <v>115275</v>
      </c>
      <c r="G313" s="58" t="s">
        <v>569</v>
      </c>
      <c r="H313" s="59">
        <f>25275+90000</f>
        <v>115275</v>
      </c>
      <c r="I313" s="55" t="s">
        <v>577</v>
      </c>
      <c r="K313" s="11"/>
    </row>
    <row r="314" customHeight="true" spans="2:11">
      <c r="B314" s="6" t="s">
        <v>837</v>
      </c>
      <c r="D314" s="53"/>
      <c r="E314" s="58" t="s">
        <v>838</v>
      </c>
      <c r="F314" s="59">
        <v>200000</v>
      </c>
      <c r="G314" s="58" t="s">
        <v>839</v>
      </c>
      <c r="H314" s="59">
        <f>100000*2</f>
        <v>200000</v>
      </c>
      <c r="I314" s="55" t="s">
        <v>577</v>
      </c>
      <c r="J314" s="7"/>
      <c r="K314" s="11"/>
    </row>
    <row r="315" s="7" customFormat="true" customHeight="true" spans="1:12">
      <c r="A315" s="5"/>
      <c r="B315" s="6" t="s">
        <v>840</v>
      </c>
      <c r="C315" s="5"/>
      <c r="D315" s="53"/>
      <c r="E315" s="58" t="s">
        <v>841</v>
      </c>
      <c r="F315" s="59">
        <v>69834</v>
      </c>
      <c r="G315" s="58" t="s">
        <v>487</v>
      </c>
      <c r="H315" s="59">
        <v>69834</v>
      </c>
      <c r="I315" s="55" t="s">
        <v>577</v>
      </c>
      <c r="J315" s="8"/>
      <c r="K315" s="5"/>
      <c r="L315" s="8"/>
    </row>
    <row r="316" customHeight="true" spans="2:10">
      <c r="B316" s="6" t="s">
        <v>842</v>
      </c>
      <c r="D316" s="53"/>
      <c r="E316" s="58" t="s">
        <v>843</v>
      </c>
      <c r="F316" s="59">
        <v>18488.5</v>
      </c>
      <c r="G316" s="58" t="s">
        <v>737</v>
      </c>
      <c r="H316" s="59">
        <v>18488.5</v>
      </c>
      <c r="I316" s="55" t="s">
        <v>577</v>
      </c>
      <c r="J316" s="7"/>
    </row>
    <row r="317" customHeight="true" spans="1:12">
      <c r="A317" s="11">
        <v>31</v>
      </c>
      <c r="B317" s="51"/>
      <c r="C317" s="11"/>
      <c r="D317" s="54"/>
      <c r="E317" s="54"/>
      <c r="F317" s="54"/>
      <c r="G317" s="54"/>
      <c r="H317" s="54"/>
      <c r="I317" s="51"/>
      <c r="L317" s="7"/>
    </row>
    <row r="318" customHeight="true" spans="2:11">
      <c r="B318" s="55" t="s">
        <v>362</v>
      </c>
      <c r="C318" s="56" t="s">
        <v>844</v>
      </c>
      <c r="D318" s="57">
        <v>59600</v>
      </c>
      <c r="E318" s="56" t="s">
        <v>845</v>
      </c>
      <c r="F318" s="57">
        <v>69600</v>
      </c>
      <c r="G318" s="56" t="s">
        <v>384</v>
      </c>
      <c r="H318" s="57">
        <v>59600</v>
      </c>
      <c r="K318" s="11"/>
    </row>
    <row r="319" s="7" customFormat="true" customHeight="true" spans="1:12">
      <c r="A319" s="11">
        <v>32</v>
      </c>
      <c r="B319" s="51"/>
      <c r="C319" s="11"/>
      <c r="D319" s="54">
        <f>D321</f>
        <v>2000</v>
      </c>
      <c r="E319" s="54"/>
      <c r="F319" s="54">
        <f>F321</f>
        <v>2000</v>
      </c>
      <c r="G319" s="54"/>
      <c r="H319" s="54">
        <f>H321</f>
        <v>2000</v>
      </c>
      <c r="I319" s="51"/>
      <c r="J319" s="8"/>
      <c r="K319" s="5"/>
      <c r="L319" s="8"/>
    </row>
    <row r="320" customHeight="true" spans="2:10">
      <c r="B320" s="6" t="s">
        <v>846</v>
      </c>
      <c r="C320" s="56" t="s">
        <v>847</v>
      </c>
      <c r="D320" s="57">
        <v>2000</v>
      </c>
      <c r="E320" s="56" t="s">
        <v>848</v>
      </c>
      <c r="F320" s="57">
        <v>2000</v>
      </c>
      <c r="G320" s="56" t="s">
        <v>849</v>
      </c>
      <c r="H320" s="57">
        <v>2000</v>
      </c>
      <c r="J320" s="7"/>
    </row>
    <row r="321" customHeight="true" spans="2:8">
      <c r="B321" s="6" t="s">
        <v>846</v>
      </c>
      <c r="C321" s="5" t="s">
        <v>850</v>
      </c>
      <c r="D321" s="53">
        <v>2000</v>
      </c>
      <c r="E321" s="5" t="s">
        <v>401</v>
      </c>
      <c r="F321" s="53">
        <v>2000</v>
      </c>
      <c r="G321" s="5" t="s">
        <v>395</v>
      </c>
      <c r="H321" s="53">
        <v>2000</v>
      </c>
    </row>
    <row r="322" customHeight="true" spans="2:9">
      <c r="B322" s="6" t="s">
        <v>846</v>
      </c>
      <c r="C322" s="63" t="s">
        <v>851</v>
      </c>
      <c r="D322" s="64">
        <v>2000</v>
      </c>
      <c r="E322" s="63" t="s">
        <v>852</v>
      </c>
      <c r="F322" s="64">
        <v>2000</v>
      </c>
      <c r="G322" s="63" t="s">
        <v>853</v>
      </c>
      <c r="H322" s="64">
        <v>2000</v>
      </c>
      <c r="I322" s="55"/>
    </row>
    <row r="323" customHeight="true" spans="1:12">
      <c r="A323" s="11">
        <v>33</v>
      </c>
      <c r="B323" s="51"/>
      <c r="C323" s="11"/>
      <c r="D323" s="54">
        <f>D324+D325</f>
        <v>125800</v>
      </c>
      <c r="E323" s="54"/>
      <c r="F323" s="54">
        <f>F324+F325</f>
        <v>125800</v>
      </c>
      <c r="G323" s="54"/>
      <c r="H323" s="54">
        <f>H324+H325</f>
        <v>125800</v>
      </c>
      <c r="I323" s="51"/>
      <c r="L323" s="7"/>
    </row>
    <row r="324" customHeight="true" spans="2:11">
      <c r="B324" s="6" t="s">
        <v>854</v>
      </c>
      <c r="C324" s="5" t="s">
        <v>855</v>
      </c>
      <c r="D324" s="53">
        <v>109800</v>
      </c>
      <c r="E324" s="5" t="s">
        <v>695</v>
      </c>
      <c r="F324" s="53">
        <v>109800</v>
      </c>
      <c r="G324" s="5" t="s">
        <v>555</v>
      </c>
      <c r="H324" s="53">
        <v>109800</v>
      </c>
      <c r="K324" s="11"/>
    </row>
    <row r="325" s="7" customFormat="true" customHeight="true" spans="1:12">
      <c r="A325" s="5"/>
      <c r="B325" s="6" t="s">
        <v>856</v>
      </c>
      <c r="C325" s="5" t="s">
        <v>855</v>
      </c>
      <c r="D325" s="53">
        <v>16000</v>
      </c>
      <c r="E325" s="5" t="s">
        <v>857</v>
      </c>
      <c r="F325" s="53">
        <v>16000</v>
      </c>
      <c r="G325" s="5" t="s">
        <v>457</v>
      </c>
      <c r="H325" s="53">
        <v>16000</v>
      </c>
      <c r="I325" s="6"/>
      <c r="J325" s="8"/>
      <c r="K325" s="5"/>
      <c r="L325" s="8"/>
    </row>
    <row r="326" customHeight="true" spans="2:10">
      <c r="B326" s="6" t="s">
        <v>858</v>
      </c>
      <c r="C326" s="58" t="s">
        <v>859</v>
      </c>
      <c r="D326" s="59">
        <v>51200</v>
      </c>
      <c r="E326" s="58" t="s">
        <v>860</v>
      </c>
      <c r="F326" s="59">
        <v>53600</v>
      </c>
      <c r="G326" s="58" t="s">
        <v>795</v>
      </c>
      <c r="H326" s="59">
        <v>20480</v>
      </c>
      <c r="I326" s="55" t="s">
        <v>861</v>
      </c>
      <c r="J326" s="7"/>
    </row>
    <row r="327" customHeight="true" spans="4:12">
      <c r="D327" s="53"/>
      <c r="E327" s="58" t="s">
        <v>779</v>
      </c>
      <c r="F327" s="59">
        <v>53600</v>
      </c>
      <c r="G327" s="65" t="s">
        <v>652</v>
      </c>
      <c r="H327" s="59">
        <v>20480</v>
      </c>
      <c r="L327" s="7"/>
    </row>
    <row r="328" customHeight="true" spans="4:11">
      <c r="D328" s="53"/>
      <c r="E328" s="58" t="s">
        <v>428</v>
      </c>
      <c r="F328" s="59">
        <v>26800</v>
      </c>
      <c r="G328" s="58" t="s">
        <v>409</v>
      </c>
      <c r="H328" s="59">
        <v>10240</v>
      </c>
      <c r="K328" s="11"/>
    </row>
    <row r="329" s="7" customFormat="true" customHeight="true" spans="1:12">
      <c r="A329" s="11">
        <v>34</v>
      </c>
      <c r="B329" s="51"/>
      <c r="C329" s="11"/>
      <c r="D329" s="54">
        <f t="shared" ref="D329" si="15">SUM(D330:D332)</f>
        <v>116010</v>
      </c>
      <c r="E329" s="54"/>
      <c r="F329" s="54">
        <f t="shared" ref="F329" si="16">SUM(F330:F332)</f>
        <v>149800</v>
      </c>
      <c r="G329" s="54"/>
      <c r="H329" s="54">
        <f>SUM(H330:H332)</f>
        <v>128010</v>
      </c>
      <c r="I329" s="51"/>
      <c r="J329" s="8"/>
      <c r="K329" s="5"/>
      <c r="L329" s="8"/>
    </row>
    <row r="330" customHeight="true" spans="2:10">
      <c r="B330" s="55" t="s">
        <v>362</v>
      </c>
      <c r="C330" s="5" t="s">
        <v>862</v>
      </c>
      <c r="D330" s="53">
        <v>29800</v>
      </c>
      <c r="E330" s="5" t="s">
        <v>863</v>
      </c>
      <c r="F330" s="53">
        <v>29800</v>
      </c>
      <c r="G330" s="5" t="s">
        <v>459</v>
      </c>
      <c r="H330" s="53">
        <v>29800</v>
      </c>
      <c r="J330" s="7"/>
    </row>
    <row r="331" customHeight="true" spans="2:8">
      <c r="B331" s="55" t="s">
        <v>362</v>
      </c>
      <c r="C331" s="5" t="s">
        <v>864</v>
      </c>
      <c r="D331" s="53">
        <v>86210</v>
      </c>
      <c r="E331" s="5" t="s">
        <v>548</v>
      </c>
      <c r="F331" s="53">
        <v>120000</v>
      </c>
      <c r="G331" s="5" t="s">
        <v>459</v>
      </c>
      <c r="H331" s="53">
        <v>86210</v>
      </c>
    </row>
    <row r="332" customHeight="true" spans="4:12">
      <c r="D332" s="53"/>
      <c r="F332" s="53"/>
      <c r="G332" s="5" t="s">
        <v>459</v>
      </c>
      <c r="H332" s="53">
        <v>12000</v>
      </c>
      <c r="L332" s="7"/>
    </row>
    <row r="333" customHeight="true" spans="1:11">
      <c r="A333" s="11">
        <v>36</v>
      </c>
      <c r="C333" s="11"/>
      <c r="D333" s="54">
        <f>D334+D335</f>
        <v>90000</v>
      </c>
      <c r="E333" s="54"/>
      <c r="F333" s="54">
        <f>F334</f>
        <v>90000</v>
      </c>
      <c r="G333" s="54"/>
      <c r="H333" s="54">
        <f>H334+H335</f>
        <v>92718.7</v>
      </c>
      <c r="I333" s="51"/>
      <c r="J333" s="7"/>
      <c r="K333" s="11"/>
    </row>
    <row r="334" s="7" customFormat="true" customHeight="true" spans="1:12">
      <c r="A334" s="5"/>
      <c r="B334" s="55" t="s">
        <v>362</v>
      </c>
      <c r="C334" s="5" t="s">
        <v>865</v>
      </c>
      <c r="D334" s="53">
        <v>80000</v>
      </c>
      <c r="E334" s="5" t="s">
        <v>530</v>
      </c>
      <c r="F334" s="61">
        <v>90000</v>
      </c>
      <c r="G334" s="5" t="s">
        <v>866</v>
      </c>
      <c r="H334" s="53">
        <v>80000</v>
      </c>
      <c r="I334" s="6"/>
      <c r="J334" s="8"/>
      <c r="K334" s="5"/>
      <c r="L334" s="8"/>
    </row>
    <row r="335" customHeight="true" spans="2:12">
      <c r="B335" s="6" t="s">
        <v>414</v>
      </c>
      <c r="C335" s="5" t="s">
        <v>412</v>
      </c>
      <c r="D335" s="53">
        <v>10000</v>
      </c>
      <c r="F335" s="61"/>
      <c r="G335" s="5" t="s">
        <v>867</v>
      </c>
      <c r="H335" s="53">
        <v>12718.7</v>
      </c>
      <c r="J335" s="7"/>
      <c r="L335" s="7"/>
    </row>
    <row r="336" customHeight="true" spans="1:11">
      <c r="A336" s="11">
        <v>37</v>
      </c>
      <c r="B336" s="51"/>
      <c r="C336" s="11"/>
      <c r="D336" s="54">
        <f>D337</f>
        <v>350000</v>
      </c>
      <c r="E336" s="11"/>
      <c r="F336" s="54">
        <f>F337</f>
        <v>350000</v>
      </c>
      <c r="G336" s="11"/>
      <c r="H336" s="54">
        <f>H337</f>
        <v>350000</v>
      </c>
      <c r="I336" s="51"/>
      <c r="K336" s="11"/>
    </row>
    <row r="337" s="7" customFormat="true" customHeight="true" spans="1:12">
      <c r="A337" s="5"/>
      <c r="B337" s="55" t="s">
        <v>638</v>
      </c>
      <c r="C337" s="5" t="s">
        <v>394</v>
      </c>
      <c r="D337" s="53">
        <v>350000</v>
      </c>
      <c r="E337" s="5" t="s">
        <v>868</v>
      </c>
      <c r="F337" s="53">
        <v>350000</v>
      </c>
      <c r="G337" s="5" t="s">
        <v>528</v>
      </c>
      <c r="H337" s="53">
        <v>350000</v>
      </c>
      <c r="I337" s="6"/>
      <c r="J337" s="8"/>
      <c r="K337" s="5"/>
      <c r="L337" s="8"/>
    </row>
    <row r="338" customHeight="true" spans="1:10">
      <c r="A338" s="11">
        <v>38</v>
      </c>
      <c r="B338" s="51"/>
      <c r="C338" s="11"/>
      <c r="D338" s="54">
        <f>SUM(D339:D340)</f>
        <v>139040</v>
      </c>
      <c r="E338" s="54"/>
      <c r="F338" s="54">
        <f>SUM(F339:F340)</f>
        <v>139040</v>
      </c>
      <c r="G338" s="54"/>
      <c r="H338" s="54">
        <f t="shared" ref="H338" si="17">SUM(H339:H340)</f>
        <v>139040</v>
      </c>
      <c r="I338" s="51"/>
      <c r="J338" s="7"/>
    </row>
    <row r="339" customHeight="true" spans="2:12">
      <c r="B339" s="6" t="s">
        <v>414</v>
      </c>
      <c r="C339" s="5" t="s">
        <v>512</v>
      </c>
      <c r="D339" s="53">
        <v>10000</v>
      </c>
      <c r="E339" s="5" t="s">
        <v>569</v>
      </c>
      <c r="F339" s="53">
        <v>10000</v>
      </c>
      <c r="G339" s="5" t="s">
        <v>869</v>
      </c>
      <c r="H339" s="53">
        <v>10000</v>
      </c>
      <c r="L339" s="7"/>
    </row>
    <row r="340" customHeight="true" spans="2:11">
      <c r="B340" s="55" t="s">
        <v>638</v>
      </c>
      <c r="C340" s="5" t="s">
        <v>870</v>
      </c>
      <c r="D340" s="53">
        <v>129040</v>
      </c>
      <c r="E340" s="5" t="s">
        <v>717</v>
      </c>
      <c r="F340" s="53">
        <v>129040</v>
      </c>
      <c r="G340" s="5" t="s">
        <v>871</v>
      </c>
      <c r="H340" s="53">
        <v>129040</v>
      </c>
      <c r="K340" s="11"/>
    </row>
    <row r="341" s="7" customFormat="true" customHeight="true" spans="1:11">
      <c r="A341" s="11">
        <v>39</v>
      </c>
      <c r="B341" s="51"/>
      <c r="C341" s="11"/>
      <c r="D341" s="54">
        <f>SUM(D342:D344)</f>
        <v>90000</v>
      </c>
      <c r="E341" s="54"/>
      <c r="F341" s="54">
        <f>SUM(F342:F344)</f>
        <v>90000</v>
      </c>
      <c r="G341" s="54"/>
      <c r="H341" s="54">
        <f>H342+H344</f>
        <v>84550.98</v>
      </c>
      <c r="I341" s="51"/>
      <c r="J341" s="8"/>
      <c r="K341" s="5"/>
    </row>
    <row r="342" customHeight="true" spans="2:11">
      <c r="B342" s="6" t="s">
        <v>414</v>
      </c>
      <c r="C342" s="5" t="s">
        <v>536</v>
      </c>
      <c r="D342" s="53">
        <v>10000</v>
      </c>
      <c r="E342" s="5" t="s">
        <v>536</v>
      </c>
      <c r="F342" s="53">
        <v>10000</v>
      </c>
      <c r="G342" s="5" t="s">
        <v>838</v>
      </c>
      <c r="H342" s="53">
        <v>4550.98</v>
      </c>
      <c r="J342" s="7"/>
      <c r="K342" s="11"/>
    </row>
    <row r="343" s="7" customFormat="true" customHeight="true" spans="1:11">
      <c r="A343" s="5"/>
      <c r="B343" s="55" t="s">
        <v>362</v>
      </c>
      <c r="C343" s="5"/>
      <c r="D343" s="53"/>
      <c r="E343" s="5"/>
      <c r="F343" s="53"/>
      <c r="G343" s="5" t="s">
        <v>852</v>
      </c>
      <c r="H343" s="53">
        <v>29470.39</v>
      </c>
      <c r="I343" s="55"/>
      <c r="J343" s="8"/>
      <c r="K343" s="5"/>
    </row>
    <row r="344" customHeight="true" spans="3:11">
      <c r="C344" s="5" t="s">
        <v>872</v>
      </c>
      <c r="D344" s="53">
        <v>80000</v>
      </c>
      <c r="E344" s="5" t="s">
        <v>873</v>
      </c>
      <c r="F344" s="53">
        <v>80000</v>
      </c>
      <c r="G344" s="5" t="s">
        <v>871</v>
      </c>
      <c r="H344" s="53">
        <v>80000</v>
      </c>
      <c r="J344" s="7"/>
      <c r="K344" s="11"/>
    </row>
    <row r="345" s="7" customFormat="true" customHeight="true" spans="1:11">
      <c r="A345" s="11">
        <v>40</v>
      </c>
      <c r="B345" s="51"/>
      <c r="C345" s="11"/>
      <c r="D345" s="54">
        <f>D346</f>
        <v>29800</v>
      </c>
      <c r="E345" s="54"/>
      <c r="F345" s="54">
        <f>F346</f>
        <v>29800</v>
      </c>
      <c r="G345" s="54"/>
      <c r="H345" s="54">
        <f t="shared" ref="H345" si="18">H346</f>
        <v>29800</v>
      </c>
      <c r="I345" s="51"/>
      <c r="J345" s="8"/>
      <c r="K345" s="5"/>
    </row>
    <row r="346" customHeight="true" spans="2:11">
      <c r="B346" s="6" t="s">
        <v>874</v>
      </c>
      <c r="C346" s="5" t="s">
        <v>875</v>
      </c>
      <c r="D346" s="53">
        <v>29800</v>
      </c>
      <c r="E346" s="5" t="s">
        <v>722</v>
      </c>
      <c r="F346" s="53">
        <v>29800</v>
      </c>
      <c r="G346" s="5" t="s">
        <v>759</v>
      </c>
      <c r="H346" s="53">
        <v>29800</v>
      </c>
      <c r="J346" s="7"/>
      <c r="K346" s="11"/>
    </row>
    <row r="347" s="7" customFormat="true" customHeight="true" spans="1:12">
      <c r="A347" s="11">
        <v>41</v>
      </c>
      <c r="B347" s="51"/>
      <c r="C347" s="11"/>
      <c r="D347" s="54"/>
      <c r="E347" s="11"/>
      <c r="F347" s="54"/>
      <c r="G347" s="11"/>
      <c r="H347" s="54"/>
      <c r="I347" s="51"/>
      <c r="J347" s="8"/>
      <c r="K347" s="5"/>
      <c r="L347" s="8"/>
    </row>
    <row r="348" customHeight="true" spans="2:10">
      <c r="B348" s="55" t="s">
        <v>362</v>
      </c>
      <c r="C348" s="58" t="s">
        <v>876</v>
      </c>
      <c r="D348" s="59">
        <v>160000</v>
      </c>
      <c r="E348" s="58"/>
      <c r="F348" s="59"/>
      <c r="G348" s="58" t="s">
        <v>877</v>
      </c>
      <c r="H348" s="59">
        <v>160000</v>
      </c>
      <c r="I348" s="55" t="s">
        <v>878</v>
      </c>
      <c r="J348" s="7"/>
    </row>
    <row r="349" customHeight="true" spans="1:9">
      <c r="A349" s="11">
        <v>42</v>
      </c>
      <c r="B349" s="51"/>
      <c r="C349" s="11"/>
      <c r="D349" s="54">
        <f>D350</f>
        <v>59600</v>
      </c>
      <c r="E349" s="11"/>
      <c r="F349" s="54">
        <f>F350</f>
        <v>59600</v>
      </c>
      <c r="G349" s="11"/>
      <c r="H349" s="54">
        <f>H350</f>
        <v>59600</v>
      </c>
      <c r="I349" s="51"/>
    </row>
    <row r="350" customHeight="true" spans="2:8">
      <c r="B350" s="55" t="s">
        <v>362</v>
      </c>
      <c r="C350" s="56" t="s">
        <v>879</v>
      </c>
      <c r="D350" s="57">
        <v>59600</v>
      </c>
      <c r="E350" s="56" t="s">
        <v>880</v>
      </c>
      <c r="F350" s="57">
        <v>59600</v>
      </c>
      <c r="G350" s="56" t="s">
        <v>881</v>
      </c>
      <c r="H350" s="57">
        <v>59600</v>
      </c>
    </row>
    <row r="351" customHeight="true" spans="1:9">
      <c r="A351" s="73">
        <v>43</v>
      </c>
      <c r="B351" s="74"/>
      <c r="C351" s="73"/>
      <c r="D351" s="75">
        <f>SUM(D352:D370)</f>
        <v>340000</v>
      </c>
      <c r="E351" s="75"/>
      <c r="F351" s="75">
        <f>SUM(F352:F370)</f>
        <v>340000</v>
      </c>
      <c r="G351" s="75"/>
      <c r="H351" s="75">
        <f>SUM(H352:H370)</f>
        <v>369227.86</v>
      </c>
      <c r="I351" s="51"/>
    </row>
    <row r="352" customHeight="true" spans="2:8">
      <c r="B352" s="55" t="s">
        <v>362</v>
      </c>
      <c r="C352" s="5" t="s">
        <v>882</v>
      </c>
      <c r="D352" s="53">
        <v>80000</v>
      </c>
      <c r="E352" s="56" t="s">
        <v>827</v>
      </c>
      <c r="F352" s="57">
        <v>80000</v>
      </c>
      <c r="G352" s="5" t="s">
        <v>883</v>
      </c>
      <c r="H352" s="53">
        <v>80000</v>
      </c>
    </row>
    <row r="353" customHeight="true" spans="2:8">
      <c r="B353" s="55" t="s">
        <v>362</v>
      </c>
      <c r="C353" s="5" t="s">
        <v>749</v>
      </c>
      <c r="D353" s="53">
        <v>80000</v>
      </c>
      <c r="E353" s="5" t="s">
        <v>765</v>
      </c>
      <c r="F353" s="53">
        <v>90000</v>
      </c>
      <c r="G353" s="5" t="s">
        <v>378</v>
      </c>
      <c r="H353" s="53">
        <v>80000</v>
      </c>
    </row>
    <row r="354" customHeight="true" spans="2:8">
      <c r="B354" s="6" t="s">
        <v>414</v>
      </c>
      <c r="C354" s="5" t="s">
        <v>884</v>
      </c>
      <c r="D354" s="53">
        <v>10000</v>
      </c>
      <c r="E354" s="56" t="s">
        <v>885</v>
      </c>
      <c r="F354" s="57">
        <v>10000</v>
      </c>
      <c r="G354" s="5" t="s">
        <v>364</v>
      </c>
      <c r="H354" s="53">
        <v>41532.51</v>
      </c>
    </row>
    <row r="355" customHeight="true" spans="2:8">
      <c r="B355" s="6" t="s">
        <v>414</v>
      </c>
      <c r="C355" s="5" t="s">
        <v>733</v>
      </c>
      <c r="D355" s="53">
        <v>10000</v>
      </c>
      <c r="E355" s="5" t="s">
        <v>737</v>
      </c>
      <c r="F355" s="53">
        <v>10000</v>
      </c>
      <c r="G355" s="5" t="s">
        <v>791</v>
      </c>
      <c r="H355" s="53">
        <v>19791.13</v>
      </c>
    </row>
    <row r="356" customHeight="true" spans="2:9">
      <c r="B356" s="6" t="s">
        <v>414</v>
      </c>
      <c r="C356" s="5" t="s">
        <v>799</v>
      </c>
      <c r="D356" s="53">
        <v>30000</v>
      </c>
      <c r="E356" s="5" t="s">
        <v>799</v>
      </c>
      <c r="F356" s="53">
        <v>30000</v>
      </c>
      <c r="G356" s="5" t="s">
        <v>886</v>
      </c>
      <c r="H356" s="53">
        <v>7866.47</v>
      </c>
      <c r="I356" s="6" t="s">
        <v>666</v>
      </c>
    </row>
    <row r="357" customHeight="true" spans="2:8">
      <c r="B357" s="6" t="s">
        <v>414</v>
      </c>
      <c r="C357" s="5" t="s">
        <v>887</v>
      </c>
      <c r="D357" s="53">
        <v>10000</v>
      </c>
      <c r="E357" s="5" t="s">
        <v>888</v>
      </c>
      <c r="F357" s="53">
        <v>10000</v>
      </c>
      <c r="G357" s="68" t="s">
        <v>889</v>
      </c>
      <c r="H357" s="53">
        <v>7089.62</v>
      </c>
    </row>
    <row r="358" customHeight="true" spans="2:8">
      <c r="B358" s="6" t="s">
        <v>414</v>
      </c>
      <c r="C358" s="5" t="s">
        <v>890</v>
      </c>
      <c r="D358" s="53">
        <v>10000</v>
      </c>
      <c r="E358" s="5" t="s">
        <v>890</v>
      </c>
      <c r="F358" s="53">
        <v>10000</v>
      </c>
      <c r="G358" s="68" t="s">
        <v>889</v>
      </c>
      <c r="H358" s="53">
        <v>7007.49</v>
      </c>
    </row>
    <row r="359" customHeight="true" spans="2:9">
      <c r="B359" s="6" t="s">
        <v>414</v>
      </c>
      <c r="C359" s="5" t="s">
        <v>371</v>
      </c>
      <c r="D359" s="53">
        <v>10000</v>
      </c>
      <c r="E359" s="5" t="s">
        <v>890</v>
      </c>
      <c r="F359" s="53">
        <v>10000</v>
      </c>
      <c r="G359" s="5" t="s">
        <v>396</v>
      </c>
      <c r="H359" s="53">
        <v>9347.68</v>
      </c>
      <c r="I359" s="6" t="s">
        <v>745</v>
      </c>
    </row>
    <row r="360" customHeight="true" spans="2:8">
      <c r="B360" s="6" t="s">
        <v>414</v>
      </c>
      <c r="C360" s="5" t="s">
        <v>391</v>
      </c>
      <c r="D360" s="53">
        <v>10000</v>
      </c>
      <c r="E360" s="5" t="s">
        <v>391</v>
      </c>
      <c r="F360" s="53">
        <v>10000</v>
      </c>
      <c r="G360" s="5" t="s">
        <v>539</v>
      </c>
      <c r="H360" s="53">
        <v>7000</v>
      </c>
    </row>
    <row r="361" customHeight="true" spans="2:9">
      <c r="B361" s="6" t="s">
        <v>414</v>
      </c>
      <c r="C361" s="5" t="s">
        <v>547</v>
      </c>
      <c r="D361" s="53">
        <v>20000</v>
      </c>
      <c r="E361" s="5" t="s">
        <v>547</v>
      </c>
      <c r="F361" s="53">
        <v>20000</v>
      </c>
      <c r="G361" s="5" t="s">
        <v>539</v>
      </c>
      <c r="H361" s="53">
        <v>8418.02</v>
      </c>
      <c r="I361" s="6" t="s">
        <v>664</v>
      </c>
    </row>
    <row r="362" customHeight="true" spans="2:9">
      <c r="B362" s="6" t="s">
        <v>414</v>
      </c>
      <c r="C362" s="5" t="s">
        <v>868</v>
      </c>
      <c r="D362" s="53">
        <v>10000</v>
      </c>
      <c r="E362" s="5" t="s">
        <v>868</v>
      </c>
      <c r="F362" s="53">
        <v>10000</v>
      </c>
      <c r="G362" s="5" t="s">
        <v>539</v>
      </c>
      <c r="H362" s="53">
        <v>26010.31</v>
      </c>
      <c r="I362" s="6" t="s">
        <v>627</v>
      </c>
    </row>
    <row r="363" customHeight="true" spans="2:9">
      <c r="B363" s="6" t="s">
        <v>414</v>
      </c>
      <c r="C363" s="5" t="s">
        <v>746</v>
      </c>
      <c r="D363" s="53">
        <v>10000</v>
      </c>
      <c r="E363" s="5" t="s">
        <v>891</v>
      </c>
      <c r="F363" s="53">
        <v>10000</v>
      </c>
      <c r="G363" s="5" t="s">
        <v>539</v>
      </c>
      <c r="H363" s="53">
        <v>7240.44</v>
      </c>
      <c r="I363" s="6" t="s">
        <v>470</v>
      </c>
    </row>
    <row r="364" customHeight="true" spans="2:9">
      <c r="B364" s="6" t="s">
        <v>414</v>
      </c>
      <c r="C364" s="5" t="s">
        <v>656</v>
      </c>
      <c r="D364" s="53">
        <v>10000</v>
      </c>
      <c r="E364" s="5" t="s">
        <v>656</v>
      </c>
      <c r="F364" s="53">
        <v>10000</v>
      </c>
      <c r="G364" s="5" t="s">
        <v>539</v>
      </c>
      <c r="H364" s="53">
        <v>13847.29</v>
      </c>
      <c r="I364" s="6" t="s">
        <v>744</v>
      </c>
    </row>
    <row r="365" customHeight="true" spans="2:12">
      <c r="B365" s="6" t="s">
        <v>414</v>
      </c>
      <c r="C365" s="5" t="s">
        <v>892</v>
      </c>
      <c r="D365" s="53">
        <v>20000</v>
      </c>
      <c r="E365" s="5" t="s">
        <v>893</v>
      </c>
      <c r="F365" s="53">
        <v>20000</v>
      </c>
      <c r="G365" s="5" t="s">
        <v>539</v>
      </c>
      <c r="H365" s="53">
        <v>3738.39</v>
      </c>
      <c r="I365" s="6" t="s">
        <v>626</v>
      </c>
      <c r="L365" s="7"/>
    </row>
    <row r="366" customHeight="true" spans="2:11">
      <c r="B366" s="6" t="s">
        <v>414</v>
      </c>
      <c r="C366" s="5" t="s">
        <v>765</v>
      </c>
      <c r="D366" s="53">
        <v>10000</v>
      </c>
      <c r="E366" s="5" t="s">
        <v>415</v>
      </c>
      <c r="F366" s="53">
        <v>10000</v>
      </c>
      <c r="G366" s="5" t="s">
        <v>767</v>
      </c>
      <c r="H366" s="53">
        <v>8576.02</v>
      </c>
      <c r="I366" s="6" t="s">
        <v>472</v>
      </c>
      <c r="K366" s="11"/>
    </row>
    <row r="367" s="7" customFormat="true" customHeight="true" spans="1:12">
      <c r="A367" s="5"/>
      <c r="B367" s="6" t="s">
        <v>414</v>
      </c>
      <c r="C367" s="5" t="s">
        <v>894</v>
      </c>
      <c r="D367" s="53">
        <v>10000</v>
      </c>
      <c r="E367" s="5"/>
      <c r="F367" s="53"/>
      <c r="G367" s="5" t="s">
        <v>767</v>
      </c>
      <c r="H367" s="53">
        <v>6971.24</v>
      </c>
      <c r="I367" s="6" t="s">
        <v>481</v>
      </c>
      <c r="J367" s="8"/>
      <c r="K367" s="5"/>
      <c r="L367" s="8"/>
    </row>
    <row r="368" customHeight="true" spans="4:10">
      <c r="D368" s="53"/>
      <c r="F368" s="53"/>
      <c r="G368" s="5" t="s">
        <v>378</v>
      </c>
      <c r="H368" s="53">
        <v>13435.26</v>
      </c>
      <c r="I368" s="6" t="s">
        <v>480</v>
      </c>
      <c r="J368" s="7"/>
    </row>
    <row r="369" customHeight="true" spans="4:8">
      <c r="D369" s="53"/>
      <c r="F369" s="53"/>
      <c r="G369" s="5" t="s">
        <v>894</v>
      </c>
      <c r="H369" s="53">
        <v>9367.91</v>
      </c>
    </row>
    <row r="370" customHeight="true" spans="4:8">
      <c r="D370" s="53"/>
      <c r="F370" s="53"/>
      <c r="G370" s="5" t="s">
        <v>496</v>
      </c>
      <c r="H370" s="53">
        <v>11988.08</v>
      </c>
    </row>
    <row r="371" customHeight="true" spans="1:9">
      <c r="A371" s="73">
        <v>44</v>
      </c>
      <c r="B371" s="74"/>
      <c r="C371" s="73"/>
      <c r="D371" s="75">
        <f>SUM(D372:D383)-D373</f>
        <v>129800</v>
      </c>
      <c r="E371" s="75"/>
      <c r="F371" s="75">
        <f>SUM(F372:F383)-F373</f>
        <v>138800</v>
      </c>
      <c r="G371" s="75"/>
      <c r="H371" s="75">
        <f>SUM(H372:H384)</f>
        <v>116209.88</v>
      </c>
      <c r="I371" s="51"/>
    </row>
    <row r="372" customHeight="true" spans="2:8">
      <c r="B372" s="6" t="s">
        <v>895</v>
      </c>
      <c r="C372" s="5" t="s">
        <v>896</v>
      </c>
      <c r="D372" s="53">
        <v>29800</v>
      </c>
      <c r="E372" s="5" t="s">
        <v>812</v>
      </c>
      <c r="F372" s="53">
        <v>29800</v>
      </c>
      <c r="G372" s="5" t="s">
        <v>421</v>
      </c>
      <c r="H372" s="53">
        <v>29800</v>
      </c>
    </row>
    <row r="373" customHeight="true" spans="2:9">
      <c r="B373" s="6" t="s">
        <v>897</v>
      </c>
      <c r="C373" s="5" t="s">
        <v>464</v>
      </c>
      <c r="D373" s="53">
        <v>1050</v>
      </c>
      <c r="E373" s="5" t="s">
        <v>356</v>
      </c>
      <c r="F373" s="53">
        <v>1050</v>
      </c>
      <c r="H373" s="53"/>
      <c r="I373" s="55" t="s">
        <v>637</v>
      </c>
    </row>
    <row r="374" customHeight="true" spans="2:9">
      <c r="B374" s="6" t="s">
        <v>414</v>
      </c>
      <c r="C374" s="5" t="s">
        <v>898</v>
      </c>
      <c r="D374" s="53">
        <v>10000</v>
      </c>
      <c r="E374" s="5" t="s">
        <v>899</v>
      </c>
      <c r="F374" s="53">
        <v>10000</v>
      </c>
      <c r="G374" s="5" t="s">
        <v>900</v>
      </c>
      <c r="H374" s="53">
        <v>913.05</v>
      </c>
      <c r="I374" s="6" t="s">
        <v>901</v>
      </c>
    </row>
    <row r="375" customHeight="true" spans="2:8">
      <c r="B375" s="6" t="s">
        <v>414</v>
      </c>
      <c r="C375" s="5" t="s">
        <v>437</v>
      </c>
      <c r="D375" s="53">
        <v>20000</v>
      </c>
      <c r="E375" s="5" t="s">
        <v>902</v>
      </c>
      <c r="F375" s="53">
        <v>20000</v>
      </c>
      <c r="G375" s="5" t="s">
        <v>902</v>
      </c>
      <c r="H375" s="53">
        <v>11693.65</v>
      </c>
    </row>
    <row r="376" customHeight="true" spans="2:8">
      <c r="B376" s="6" t="s">
        <v>414</v>
      </c>
      <c r="C376" s="68" t="s">
        <v>903</v>
      </c>
      <c r="D376" s="53">
        <v>10000</v>
      </c>
      <c r="E376" s="68" t="s">
        <v>903</v>
      </c>
      <c r="F376" s="53">
        <v>10000</v>
      </c>
      <c r="G376" s="5" t="s">
        <v>904</v>
      </c>
      <c r="H376" s="53">
        <v>11124.39</v>
      </c>
    </row>
    <row r="377" customHeight="true" spans="2:8">
      <c r="B377" s="6" t="s">
        <v>414</v>
      </c>
      <c r="C377" s="5" t="s">
        <v>451</v>
      </c>
      <c r="D377" s="53">
        <v>10000</v>
      </c>
      <c r="E377" s="5" t="s">
        <v>905</v>
      </c>
      <c r="F377" s="53">
        <v>10000</v>
      </c>
      <c r="G377" s="5" t="s">
        <v>906</v>
      </c>
      <c r="H377" s="53">
        <v>16506.35</v>
      </c>
    </row>
    <row r="378" customHeight="true" spans="2:12">
      <c r="B378" s="6" t="s">
        <v>414</v>
      </c>
      <c r="C378" s="5" t="s">
        <v>834</v>
      </c>
      <c r="D378" s="53">
        <v>10000</v>
      </c>
      <c r="E378" s="5" t="s">
        <v>834</v>
      </c>
      <c r="F378" s="53">
        <v>10000</v>
      </c>
      <c r="G378" s="5" t="s">
        <v>906</v>
      </c>
      <c r="H378" s="53">
        <v>10399.31</v>
      </c>
      <c r="L378" s="7"/>
    </row>
    <row r="379" customHeight="true" spans="2:11">
      <c r="B379" s="6" t="s">
        <v>414</v>
      </c>
      <c r="C379" s="5" t="s">
        <v>686</v>
      </c>
      <c r="D379" s="53">
        <v>10000</v>
      </c>
      <c r="E379" s="5" t="s">
        <v>907</v>
      </c>
      <c r="F379" s="53">
        <v>10000</v>
      </c>
      <c r="G379" s="5" t="s">
        <v>906</v>
      </c>
      <c r="H379" s="53">
        <v>9000</v>
      </c>
      <c r="K379" s="11"/>
    </row>
    <row r="380" s="7" customFormat="true" customHeight="true" spans="1:12">
      <c r="A380" s="5"/>
      <c r="B380" s="6" t="s">
        <v>414</v>
      </c>
      <c r="C380" s="5" t="s">
        <v>675</v>
      </c>
      <c r="D380" s="53">
        <v>20000</v>
      </c>
      <c r="E380" s="5" t="s">
        <v>893</v>
      </c>
      <c r="F380" s="53">
        <v>20000</v>
      </c>
      <c r="G380" s="5" t="s">
        <v>605</v>
      </c>
      <c r="H380" s="53">
        <v>4888.58</v>
      </c>
      <c r="I380" s="6"/>
      <c r="J380" s="8"/>
      <c r="K380" s="5"/>
      <c r="L380" s="8"/>
    </row>
    <row r="381" customHeight="true" spans="2:10">
      <c r="B381" s="6" t="s">
        <v>414</v>
      </c>
      <c r="C381" s="5" t="s">
        <v>356</v>
      </c>
      <c r="D381" s="53">
        <v>10000</v>
      </c>
      <c r="E381" s="5" t="s">
        <v>471</v>
      </c>
      <c r="F381" s="53">
        <v>10000</v>
      </c>
      <c r="G381" s="5" t="s">
        <v>908</v>
      </c>
      <c r="H381" s="53">
        <v>6488</v>
      </c>
      <c r="J381" s="7"/>
    </row>
    <row r="382" customHeight="true" spans="4:9">
      <c r="D382" s="53"/>
      <c r="E382" s="5" t="s">
        <v>909</v>
      </c>
      <c r="F382" s="53">
        <v>9000</v>
      </c>
      <c r="G382" s="5" t="s">
        <v>791</v>
      </c>
      <c r="H382" s="53">
        <v>6693.93</v>
      </c>
      <c r="I382" s="6" t="s">
        <v>664</v>
      </c>
    </row>
    <row r="383" customHeight="true" spans="4:9">
      <c r="D383" s="53"/>
      <c r="F383" s="53"/>
      <c r="G383" s="5" t="s">
        <v>791</v>
      </c>
      <c r="H383" s="53">
        <v>4164.27</v>
      </c>
      <c r="I383" s="6" t="s">
        <v>910</v>
      </c>
    </row>
    <row r="384" customHeight="true" spans="4:9">
      <c r="D384" s="53"/>
      <c r="F384" s="53"/>
      <c r="G384" s="5" t="s">
        <v>911</v>
      </c>
      <c r="H384" s="53">
        <v>4538.35</v>
      </c>
      <c r="I384" s="6" t="s">
        <v>468</v>
      </c>
    </row>
    <row r="385" customHeight="true" spans="1:9">
      <c r="A385" s="11">
        <v>45</v>
      </c>
      <c r="B385" s="51"/>
      <c r="C385" s="11"/>
      <c r="D385" s="54">
        <f>SUM(D386:D390)</f>
        <v>628000</v>
      </c>
      <c r="F385" s="54">
        <f>SUM(F386:F390)</f>
        <v>508000</v>
      </c>
      <c r="G385" s="54"/>
      <c r="H385" s="54">
        <f>SUM(H386:H392)</f>
        <v>686259.15</v>
      </c>
      <c r="I385" s="51"/>
    </row>
    <row r="386" customHeight="true" spans="2:11">
      <c r="B386" s="55" t="s">
        <v>362</v>
      </c>
      <c r="C386" s="5" t="s">
        <v>912</v>
      </c>
      <c r="D386" s="53">
        <v>160000</v>
      </c>
      <c r="E386" s="5" t="s">
        <v>913</v>
      </c>
      <c r="F386" s="53">
        <v>160000</v>
      </c>
      <c r="G386" s="68" t="s">
        <v>903</v>
      </c>
      <c r="H386" s="53">
        <v>160000</v>
      </c>
      <c r="K386" s="11"/>
    </row>
    <row r="387" s="7" customFormat="true" customHeight="true" spans="1:11">
      <c r="A387" s="5"/>
      <c r="B387" s="55" t="s">
        <v>638</v>
      </c>
      <c r="C387" s="5" t="s">
        <v>914</v>
      </c>
      <c r="D387" s="53">
        <v>350000</v>
      </c>
      <c r="E387" s="5" t="s">
        <v>838</v>
      </c>
      <c r="F387" s="53">
        <v>230000</v>
      </c>
      <c r="G387" s="5" t="s">
        <v>405</v>
      </c>
      <c r="H387" s="53">
        <v>350000</v>
      </c>
      <c r="I387" s="6"/>
      <c r="J387" s="8"/>
      <c r="K387" s="5"/>
    </row>
    <row r="388" customHeight="true" spans="2:11">
      <c r="B388" s="6" t="s">
        <v>915</v>
      </c>
      <c r="C388" s="5" t="s">
        <v>403</v>
      </c>
      <c r="D388" s="53">
        <v>18000</v>
      </c>
      <c r="E388" s="5" t="s">
        <v>916</v>
      </c>
      <c r="F388" s="53">
        <v>18000</v>
      </c>
      <c r="G388" s="5" t="s">
        <v>405</v>
      </c>
      <c r="H388" s="53">
        <v>18000</v>
      </c>
      <c r="J388" s="7"/>
      <c r="K388" s="11"/>
    </row>
    <row r="389" customHeight="true" spans="2:9">
      <c r="B389" s="6" t="s">
        <v>414</v>
      </c>
      <c r="C389" s="5" t="s">
        <v>518</v>
      </c>
      <c r="D389" s="53">
        <v>50000</v>
      </c>
      <c r="E389" s="5" t="s">
        <v>518</v>
      </c>
      <c r="F389" s="53">
        <v>50000</v>
      </c>
      <c r="G389" s="5" t="s">
        <v>739</v>
      </c>
      <c r="H389" s="53">
        <v>65795.8</v>
      </c>
      <c r="I389" s="6" t="s">
        <v>917</v>
      </c>
    </row>
    <row r="390" customHeight="true" spans="2:12">
      <c r="B390" s="6" t="s">
        <v>414</v>
      </c>
      <c r="C390" s="5" t="s">
        <v>918</v>
      </c>
      <c r="D390" s="53">
        <v>50000</v>
      </c>
      <c r="E390" s="5" t="s">
        <v>717</v>
      </c>
      <c r="F390" s="53">
        <v>50000</v>
      </c>
      <c r="G390" s="5" t="s">
        <v>919</v>
      </c>
      <c r="H390" s="53">
        <v>47616.38</v>
      </c>
      <c r="I390" s="6" t="s">
        <v>920</v>
      </c>
      <c r="L390" s="7"/>
    </row>
    <row r="391" s="7" customFormat="true" customHeight="true" spans="1:12">
      <c r="A391" s="5"/>
      <c r="B391" s="6" t="s">
        <v>414</v>
      </c>
      <c r="C391" s="58" t="s">
        <v>838</v>
      </c>
      <c r="D391" s="59">
        <v>100000</v>
      </c>
      <c r="E391" s="58" t="s">
        <v>361</v>
      </c>
      <c r="F391" s="59"/>
      <c r="G391" s="5" t="s">
        <v>360</v>
      </c>
      <c r="H391" s="53">
        <v>44846.97</v>
      </c>
      <c r="I391" s="6" t="s">
        <v>921</v>
      </c>
      <c r="J391" s="8"/>
      <c r="K391" s="5"/>
      <c r="L391" s="8"/>
    </row>
    <row r="392" customHeight="true" spans="2:10">
      <c r="B392" s="6" t="s">
        <v>414</v>
      </c>
      <c r="C392" s="58" t="s">
        <v>922</v>
      </c>
      <c r="D392" s="59">
        <v>100000</v>
      </c>
      <c r="E392" s="58" t="s">
        <v>361</v>
      </c>
      <c r="F392" s="59"/>
      <c r="H392" s="53"/>
      <c r="I392" s="55" t="s">
        <v>923</v>
      </c>
      <c r="J392" s="7"/>
    </row>
    <row r="393" customHeight="true" spans="1:9">
      <c r="A393" s="11">
        <v>46</v>
      </c>
      <c r="B393" s="51"/>
      <c r="C393" s="11"/>
      <c r="D393" s="54">
        <f>D394</f>
        <v>80000</v>
      </c>
      <c r="E393" s="11"/>
      <c r="F393" s="54">
        <f>F394</f>
        <v>80000</v>
      </c>
      <c r="G393" s="11"/>
      <c r="H393" s="54">
        <f>H394</f>
        <v>80000</v>
      </c>
      <c r="I393" s="51"/>
    </row>
    <row r="394" customHeight="true" spans="2:8">
      <c r="B394" s="55" t="s">
        <v>362</v>
      </c>
      <c r="C394" s="5" t="s">
        <v>924</v>
      </c>
      <c r="D394" s="53">
        <v>80000</v>
      </c>
      <c r="E394" s="5" t="s">
        <v>419</v>
      </c>
      <c r="F394" s="53">
        <v>80000</v>
      </c>
      <c r="G394" s="5" t="s">
        <v>569</v>
      </c>
      <c r="H394" s="53">
        <v>80000</v>
      </c>
    </row>
    <row r="395" customHeight="true" spans="1:9">
      <c r="A395" s="11">
        <v>47</v>
      </c>
      <c r="B395" s="51"/>
      <c r="C395" s="11"/>
      <c r="D395" s="54">
        <f>SUM(D396:D406)</f>
        <v>139180</v>
      </c>
      <c r="E395" s="54"/>
      <c r="F395" s="54">
        <f>SUM(F396:F406)</f>
        <v>140180</v>
      </c>
      <c r="G395" s="54"/>
      <c r="H395" s="54">
        <f>SUM(H396:H406)</f>
        <v>126928.86</v>
      </c>
      <c r="I395" s="51"/>
    </row>
    <row r="396" customHeight="true" spans="2:8">
      <c r="B396" s="55" t="s">
        <v>362</v>
      </c>
      <c r="C396" s="68" t="s">
        <v>925</v>
      </c>
      <c r="D396" s="53">
        <v>80000</v>
      </c>
      <c r="E396" s="68" t="s">
        <v>926</v>
      </c>
      <c r="F396" s="61">
        <v>120000</v>
      </c>
      <c r="G396" s="5" t="s">
        <v>419</v>
      </c>
      <c r="H396" s="53">
        <v>80000</v>
      </c>
    </row>
    <row r="397" customHeight="true" spans="2:9">
      <c r="B397" s="6" t="s">
        <v>414</v>
      </c>
      <c r="C397" s="68" t="s">
        <v>613</v>
      </c>
      <c r="D397" s="53">
        <v>39000</v>
      </c>
      <c r="E397" s="68"/>
      <c r="F397" s="61"/>
      <c r="G397" s="5" t="s">
        <v>539</v>
      </c>
      <c r="H397" s="53">
        <v>795.75</v>
      </c>
      <c r="I397" s="6" t="s">
        <v>470</v>
      </c>
    </row>
    <row r="398" customHeight="true" spans="2:9">
      <c r="B398" s="55"/>
      <c r="D398" s="53"/>
      <c r="F398" s="53"/>
      <c r="G398" s="5" t="s">
        <v>760</v>
      </c>
      <c r="H398" s="53">
        <v>5336.86</v>
      </c>
      <c r="I398" s="6" t="s">
        <v>472</v>
      </c>
    </row>
    <row r="399" customHeight="true" spans="4:9">
      <c r="D399" s="53"/>
      <c r="F399" s="53"/>
      <c r="G399" s="5" t="s">
        <v>765</v>
      </c>
      <c r="H399" s="53">
        <v>7338.38</v>
      </c>
      <c r="I399" s="6" t="s">
        <v>481</v>
      </c>
    </row>
    <row r="400" customHeight="true" spans="4:9">
      <c r="D400" s="53"/>
      <c r="F400" s="53"/>
      <c r="G400" s="5" t="s">
        <v>765</v>
      </c>
      <c r="H400" s="53">
        <v>2083.95</v>
      </c>
      <c r="I400" s="6" t="s">
        <v>769</v>
      </c>
    </row>
    <row r="401" customHeight="true" spans="4:12">
      <c r="D401" s="53"/>
      <c r="F401" s="53"/>
      <c r="G401" s="5" t="s">
        <v>564</v>
      </c>
      <c r="H401" s="53">
        <v>2253.07</v>
      </c>
      <c r="I401" s="6" t="s">
        <v>770</v>
      </c>
      <c r="L401" s="7"/>
    </row>
    <row r="402" customHeight="true" spans="4:11">
      <c r="D402" s="53"/>
      <c r="F402" s="53"/>
      <c r="G402" s="5" t="s">
        <v>564</v>
      </c>
      <c r="H402" s="53">
        <v>2692.72</v>
      </c>
      <c r="I402" s="6" t="s">
        <v>927</v>
      </c>
      <c r="K402" s="11"/>
    </row>
    <row r="403" s="7" customFormat="true" customHeight="true" spans="1:12">
      <c r="A403" s="5"/>
      <c r="B403" s="6"/>
      <c r="C403" s="5"/>
      <c r="D403" s="53"/>
      <c r="E403" s="5"/>
      <c r="F403" s="53"/>
      <c r="G403" s="5" t="s">
        <v>564</v>
      </c>
      <c r="H403" s="53">
        <v>2713.81</v>
      </c>
      <c r="I403" s="6" t="s">
        <v>928</v>
      </c>
      <c r="J403" s="8"/>
      <c r="K403" s="5"/>
      <c r="L403" s="8"/>
    </row>
    <row r="404" customHeight="true" spans="4:10">
      <c r="D404" s="53"/>
      <c r="F404" s="53"/>
      <c r="G404" s="5" t="s">
        <v>564</v>
      </c>
      <c r="H404" s="53">
        <v>3534.32</v>
      </c>
      <c r="I404" s="6" t="s">
        <v>929</v>
      </c>
      <c r="J404" s="7"/>
    </row>
    <row r="405" customHeight="true" spans="2:8">
      <c r="B405" s="6" t="s">
        <v>930</v>
      </c>
      <c r="C405" s="5" t="s">
        <v>397</v>
      </c>
      <c r="D405" s="53">
        <v>3380</v>
      </c>
      <c r="E405" s="5" t="s">
        <v>777</v>
      </c>
      <c r="F405" s="53">
        <v>3380</v>
      </c>
      <c r="G405" s="5" t="s">
        <v>623</v>
      </c>
      <c r="H405" s="53">
        <v>3380</v>
      </c>
    </row>
    <row r="406" customHeight="true" spans="2:8">
      <c r="B406" s="55" t="s">
        <v>931</v>
      </c>
      <c r="C406" s="5" t="s">
        <v>397</v>
      </c>
      <c r="D406" s="53">
        <v>16800</v>
      </c>
      <c r="E406" s="5" t="s">
        <v>397</v>
      </c>
      <c r="F406" s="53">
        <v>16800</v>
      </c>
      <c r="G406" s="5" t="s">
        <v>513</v>
      </c>
      <c r="H406" s="53">
        <f>7800+9000</f>
        <v>16800</v>
      </c>
    </row>
    <row r="407" customHeight="true" spans="1:9">
      <c r="A407" s="11">
        <v>48</v>
      </c>
      <c r="B407" s="51"/>
      <c r="C407" s="11"/>
      <c r="D407" s="54">
        <f>D409</f>
        <v>100000</v>
      </c>
      <c r="E407" s="54"/>
      <c r="F407" s="54">
        <f>F409</f>
        <v>100000</v>
      </c>
      <c r="G407" s="54"/>
      <c r="H407" s="54">
        <f>SUM(H409:H426)</f>
        <v>95304.08</v>
      </c>
      <c r="I407" s="51"/>
    </row>
    <row r="408" customHeight="true" spans="2:9">
      <c r="B408" s="55" t="s">
        <v>362</v>
      </c>
      <c r="C408" s="56" t="s">
        <v>932</v>
      </c>
      <c r="D408" s="57">
        <v>263400</v>
      </c>
      <c r="E408" s="56" t="s">
        <v>933</v>
      </c>
      <c r="F408" s="57">
        <v>263400</v>
      </c>
      <c r="G408" s="56" t="s">
        <v>934</v>
      </c>
      <c r="H408" s="57">
        <v>263400</v>
      </c>
      <c r="I408" s="55"/>
    </row>
    <row r="409" customHeight="true" spans="2:9">
      <c r="B409" s="6" t="s">
        <v>414</v>
      </c>
      <c r="C409" s="5" t="s">
        <v>364</v>
      </c>
      <c r="D409" s="53">
        <v>100000</v>
      </c>
      <c r="E409" s="5" t="s">
        <v>364</v>
      </c>
      <c r="F409" s="53">
        <v>100000</v>
      </c>
      <c r="G409" s="5" t="s">
        <v>935</v>
      </c>
      <c r="H409" s="53">
        <v>9037.49</v>
      </c>
      <c r="I409" s="6" t="s">
        <v>629</v>
      </c>
    </row>
    <row r="410" customHeight="true" spans="4:9">
      <c r="D410" s="53"/>
      <c r="F410" s="53"/>
      <c r="G410" s="5" t="s">
        <v>535</v>
      </c>
      <c r="H410" s="53">
        <v>8492.89</v>
      </c>
      <c r="I410" s="6" t="s">
        <v>630</v>
      </c>
    </row>
    <row r="411" customHeight="true" spans="4:9">
      <c r="D411" s="53"/>
      <c r="F411" s="53"/>
      <c r="G411" s="5" t="s">
        <v>535</v>
      </c>
      <c r="H411" s="53">
        <v>18791.34</v>
      </c>
      <c r="I411" s="6" t="s">
        <v>936</v>
      </c>
    </row>
    <row r="412" customHeight="true" spans="4:9">
      <c r="D412" s="53"/>
      <c r="F412" s="53"/>
      <c r="G412" s="5" t="s">
        <v>535</v>
      </c>
      <c r="H412" s="53">
        <v>5721.14</v>
      </c>
      <c r="I412" s="6" t="s">
        <v>628</v>
      </c>
    </row>
    <row r="413" customHeight="true" spans="4:9">
      <c r="D413" s="53"/>
      <c r="F413" s="53"/>
      <c r="G413" s="5" t="s">
        <v>535</v>
      </c>
      <c r="H413" s="53">
        <v>3141.58</v>
      </c>
      <c r="I413" s="6" t="s">
        <v>910</v>
      </c>
    </row>
    <row r="414" customHeight="true" spans="4:9">
      <c r="D414" s="53"/>
      <c r="F414" s="53"/>
      <c r="G414" s="5" t="s">
        <v>535</v>
      </c>
      <c r="H414" s="53">
        <v>7649.22</v>
      </c>
      <c r="I414" s="6" t="s">
        <v>937</v>
      </c>
    </row>
    <row r="415" customHeight="true" spans="4:9">
      <c r="D415" s="53"/>
      <c r="F415" s="53"/>
      <c r="G415" s="5" t="s">
        <v>535</v>
      </c>
      <c r="H415" s="53">
        <v>2618.91</v>
      </c>
      <c r="I415" s="6" t="s">
        <v>666</v>
      </c>
    </row>
    <row r="416" customHeight="true" spans="4:9">
      <c r="D416" s="53"/>
      <c r="F416" s="53"/>
      <c r="G416" s="5" t="s">
        <v>535</v>
      </c>
      <c r="H416" s="53">
        <v>4591.8</v>
      </c>
      <c r="I416" s="6" t="s">
        <v>669</v>
      </c>
    </row>
    <row r="417" customHeight="true" spans="4:9">
      <c r="D417" s="53"/>
      <c r="F417" s="53"/>
      <c r="G417" s="5" t="s">
        <v>412</v>
      </c>
      <c r="H417" s="53">
        <v>8324.49</v>
      </c>
      <c r="I417" s="6" t="s">
        <v>671</v>
      </c>
    </row>
    <row r="418" customHeight="true" spans="4:9">
      <c r="D418" s="53"/>
      <c r="F418" s="53"/>
      <c r="G418" s="5" t="s">
        <v>412</v>
      </c>
      <c r="H418" s="53">
        <v>4784.7</v>
      </c>
      <c r="I418" s="6" t="s">
        <v>672</v>
      </c>
    </row>
    <row r="419" customHeight="true" spans="4:9">
      <c r="D419" s="53"/>
      <c r="F419" s="53"/>
      <c r="G419" s="5" t="s">
        <v>539</v>
      </c>
      <c r="H419" s="53">
        <v>1238.42</v>
      </c>
      <c r="I419" s="6" t="s">
        <v>673</v>
      </c>
    </row>
    <row r="420" customHeight="true" spans="4:9">
      <c r="D420" s="53"/>
      <c r="F420" s="53"/>
      <c r="G420" s="5" t="s">
        <v>838</v>
      </c>
      <c r="H420" s="53">
        <v>1847.73</v>
      </c>
      <c r="I420" s="6" t="s">
        <v>674</v>
      </c>
    </row>
    <row r="421" customHeight="true" spans="4:12">
      <c r="D421" s="53"/>
      <c r="F421" s="53"/>
      <c r="G421" s="5" t="s">
        <v>894</v>
      </c>
      <c r="H421" s="53">
        <v>3200.38</v>
      </c>
      <c r="I421" s="6" t="s">
        <v>481</v>
      </c>
      <c r="L421" s="7"/>
    </row>
    <row r="422" customHeight="true" spans="4:11">
      <c r="D422" s="53"/>
      <c r="F422" s="53"/>
      <c r="G422" s="5" t="s">
        <v>894</v>
      </c>
      <c r="H422" s="53">
        <v>2262.91</v>
      </c>
      <c r="I422" s="6" t="s">
        <v>769</v>
      </c>
      <c r="K422" s="11"/>
    </row>
    <row r="423" s="7" customFormat="true" customHeight="true" spans="1:12">
      <c r="A423" s="5"/>
      <c r="B423" s="6"/>
      <c r="C423" s="5"/>
      <c r="D423" s="53"/>
      <c r="E423" s="5"/>
      <c r="F423" s="53"/>
      <c r="G423" s="5" t="s">
        <v>894</v>
      </c>
      <c r="H423" s="53">
        <v>2559.16</v>
      </c>
      <c r="I423" s="6" t="s">
        <v>770</v>
      </c>
      <c r="J423" s="8"/>
      <c r="K423" s="5"/>
      <c r="L423" s="8"/>
    </row>
    <row r="424" customHeight="true" spans="4:10">
      <c r="D424" s="53"/>
      <c r="F424" s="53"/>
      <c r="G424" s="5" t="s">
        <v>894</v>
      </c>
      <c r="H424" s="53">
        <v>1891.92</v>
      </c>
      <c r="I424" s="6" t="s">
        <v>927</v>
      </c>
      <c r="J424" s="7"/>
    </row>
    <row r="425" customHeight="true" spans="4:9">
      <c r="D425" s="53"/>
      <c r="F425" s="53"/>
      <c r="G425" s="5" t="s">
        <v>564</v>
      </c>
      <c r="H425" s="53">
        <v>4650</v>
      </c>
      <c r="I425" s="6" t="s">
        <v>928</v>
      </c>
    </row>
    <row r="426" customHeight="true" spans="4:9">
      <c r="D426" s="53"/>
      <c r="F426" s="53"/>
      <c r="G426" s="5" t="s">
        <v>564</v>
      </c>
      <c r="H426" s="53">
        <v>4500</v>
      </c>
      <c r="I426" s="6" t="s">
        <v>478</v>
      </c>
    </row>
    <row r="427" customHeight="true" spans="1:9">
      <c r="A427" s="11">
        <v>49</v>
      </c>
      <c r="B427" s="51"/>
      <c r="C427" s="11"/>
      <c r="D427" s="54">
        <f>SUM(D428:D443)</f>
        <v>266820</v>
      </c>
      <c r="E427" s="54"/>
      <c r="F427" s="54">
        <f>SUM(F428:F443)</f>
        <v>231310</v>
      </c>
      <c r="G427" s="54"/>
      <c r="H427" s="54">
        <f>SUM(H428:H443)</f>
        <v>224972.89</v>
      </c>
      <c r="I427" s="51"/>
    </row>
    <row r="428" customHeight="true" spans="2:8">
      <c r="B428" s="55" t="s">
        <v>362</v>
      </c>
      <c r="C428" s="5" t="s">
        <v>524</v>
      </c>
      <c r="D428" s="53">
        <v>59600</v>
      </c>
      <c r="E428" s="5" t="s">
        <v>938</v>
      </c>
      <c r="F428" s="53">
        <v>59600</v>
      </c>
      <c r="G428" s="5" t="s">
        <v>761</v>
      </c>
      <c r="H428" s="53">
        <v>59600</v>
      </c>
    </row>
    <row r="429" customHeight="true" spans="2:9">
      <c r="B429" s="55" t="s">
        <v>362</v>
      </c>
      <c r="C429" s="5" t="s">
        <v>681</v>
      </c>
      <c r="D429" s="53">
        <v>157220</v>
      </c>
      <c r="E429" s="5" t="s">
        <v>699</v>
      </c>
      <c r="F429" s="53">
        <v>121710</v>
      </c>
      <c r="G429" s="68" t="s">
        <v>407</v>
      </c>
      <c r="H429" s="53">
        <v>121700.47</v>
      </c>
      <c r="I429" s="55"/>
    </row>
    <row r="430" customHeight="true" spans="2:9">
      <c r="B430" s="6" t="s">
        <v>414</v>
      </c>
      <c r="C430" s="5" t="s">
        <v>939</v>
      </c>
      <c r="D430" s="53">
        <v>10000</v>
      </c>
      <c r="E430" s="5" t="s">
        <v>939</v>
      </c>
      <c r="F430" s="53">
        <v>10000</v>
      </c>
      <c r="G430" s="5" t="s">
        <v>364</v>
      </c>
      <c r="H430" s="53">
        <v>1253.58</v>
      </c>
      <c r="I430" s="6" t="s">
        <v>940</v>
      </c>
    </row>
    <row r="431" customHeight="true" spans="2:9">
      <c r="B431" s="6" t="s">
        <v>414</v>
      </c>
      <c r="C431" s="5" t="s">
        <v>525</v>
      </c>
      <c r="D431" s="53">
        <v>10000</v>
      </c>
      <c r="E431" s="5" t="s">
        <v>594</v>
      </c>
      <c r="F431" s="53">
        <v>10000</v>
      </c>
      <c r="G431" s="5" t="s">
        <v>795</v>
      </c>
      <c r="H431" s="8">
        <v>207.87</v>
      </c>
      <c r="I431" s="6" t="s">
        <v>936</v>
      </c>
    </row>
    <row r="432" customHeight="true" spans="2:9">
      <c r="B432" s="6" t="s">
        <v>414</v>
      </c>
      <c r="C432" s="5" t="s">
        <v>756</v>
      </c>
      <c r="D432" s="53">
        <v>10000</v>
      </c>
      <c r="E432" s="5" t="s">
        <v>756</v>
      </c>
      <c r="F432" s="53">
        <v>10000</v>
      </c>
      <c r="G432" s="5" t="s">
        <v>427</v>
      </c>
      <c r="H432" s="53">
        <v>1337.11</v>
      </c>
      <c r="I432" s="6" t="s">
        <v>628</v>
      </c>
    </row>
    <row r="433" customHeight="true" spans="2:9">
      <c r="B433" s="6" t="s">
        <v>414</v>
      </c>
      <c r="C433" s="5" t="s">
        <v>941</v>
      </c>
      <c r="D433" s="53">
        <v>20000</v>
      </c>
      <c r="E433" s="5" t="s">
        <v>941</v>
      </c>
      <c r="F433" s="53">
        <v>20000</v>
      </c>
      <c r="G433" s="5" t="s">
        <v>761</v>
      </c>
      <c r="H433" s="53">
        <v>1913.89</v>
      </c>
      <c r="I433" s="6" t="s">
        <v>910</v>
      </c>
    </row>
    <row r="434" customHeight="true" spans="4:9">
      <c r="D434" s="53"/>
      <c r="F434" s="53"/>
      <c r="G434" s="5" t="s">
        <v>391</v>
      </c>
      <c r="H434" s="53">
        <v>7685.55</v>
      </c>
      <c r="I434" s="6" t="s">
        <v>937</v>
      </c>
    </row>
    <row r="435" customHeight="true" spans="4:9">
      <c r="D435" s="53"/>
      <c r="F435" s="53"/>
      <c r="G435" s="5" t="s">
        <v>782</v>
      </c>
      <c r="H435" s="53">
        <v>6531.82</v>
      </c>
      <c r="I435" s="6" t="s">
        <v>666</v>
      </c>
    </row>
    <row r="436" customHeight="true" spans="4:9">
      <c r="D436" s="53"/>
      <c r="F436" s="53"/>
      <c r="G436" s="5" t="s">
        <v>668</v>
      </c>
      <c r="H436" s="53">
        <v>6617.59</v>
      </c>
      <c r="I436" s="6" t="s">
        <v>669</v>
      </c>
    </row>
    <row r="437" customHeight="true" spans="4:9">
      <c r="D437" s="53"/>
      <c r="F437" s="53"/>
      <c r="G437" s="68" t="s">
        <v>670</v>
      </c>
      <c r="H437" s="53">
        <v>3901.99</v>
      </c>
      <c r="I437" s="6" t="s">
        <v>671</v>
      </c>
    </row>
    <row r="438" customHeight="true" spans="4:12">
      <c r="D438" s="53"/>
      <c r="F438" s="53"/>
      <c r="G438" s="68" t="s">
        <v>942</v>
      </c>
      <c r="H438" s="53">
        <v>2567.02</v>
      </c>
      <c r="I438" s="6" t="s">
        <v>672</v>
      </c>
      <c r="L438" s="7"/>
    </row>
    <row r="439" customHeight="true" spans="4:11">
      <c r="D439" s="53"/>
      <c r="F439" s="53"/>
      <c r="G439" s="68" t="s">
        <v>943</v>
      </c>
      <c r="H439" s="53">
        <v>1930.27</v>
      </c>
      <c r="I439" s="6" t="s">
        <v>673</v>
      </c>
      <c r="K439" s="11"/>
    </row>
    <row r="440" s="7" customFormat="true" ht="15.6" customHeight="true" spans="1:12">
      <c r="A440" s="5"/>
      <c r="B440" s="6"/>
      <c r="C440" s="5"/>
      <c r="D440" s="53"/>
      <c r="E440" s="5"/>
      <c r="F440" s="53"/>
      <c r="G440" s="68" t="s">
        <v>698</v>
      </c>
      <c r="H440" s="53">
        <v>542.37</v>
      </c>
      <c r="I440" s="6" t="s">
        <v>476</v>
      </c>
      <c r="J440" s="8"/>
      <c r="K440" s="5"/>
      <c r="L440" s="8"/>
    </row>
    <row r="441" customHeight="true" spans="4:12">
      <c r="D441" s="53"/>
      <c r="F441" s="53"/>
      <c r="G441" s="68" t="s">
        <v>402</v>
      </c>
      <c r="H441" s="53">
        <v>3600.12</v>
      </c>
      <c r="I441" s="6" t="s">
        <v>770</v>
      </c>
      <c r="J441" s="7"/>
      <c r="L441" s="7"/>
    </row>
    <row r="442" customHeight="true" spans="4:11">
      <c r="D442" s="53"/>
      <c r="F442" s="53"/>
      <c r="G442" s="68" t="s">
        <v>506</v>
      </c>
      <c r="H442" s="53">
        <v>1923.67</v>
      </c>
      <c r="I442" s="6" t="s">
        <v>927</v>
      </c>
      <c r="K442" s="11"/>
    </row>
    <row r="443" s="7" customFormat="true" customHeight="true" spans="1:12">
      <c r="A443" s="5"/>
      <c r="B443" s="6"/>
      <c r="C443" s="5"/>
      <c r="D443" s="53"/>
      <c r="E443" s="5"/>
      <c r="F443" s="53"/>
      <c r="G443" s="68" t="s">
        <v>415</v>
      </c>
      <c r="H443" s="53">
        <v>3659.57</v>
      </c>
      <c r="I443" s="6" t="s">
        <v>928</v>
      </c>
      <c r="J443" s="8"/>
      <c r="K443" s="5"/>
      <c r="L443" s="8"/>
    </row>
    <row r="444" customHeight="true" spans="1:10">
      <c r="A444" s="11">
        <v>50</v>
      </c>
      <c r="B444" s="51"/>
      <c r="C444" s="11"/>
      <c r="D444" s="54">
        <f>SUM(D445:D446)</f>
        <v>25000</v>
      </c>
      <c r="E444" s="54"/>
      <c r="F444" s="54">
        <f>SUM(F445:F446)</f>
        <v>25000</v>
      </c>
      <c r="G444" s="54"/>
      <c r="H444" s="54">
        <f t="shared" ref="H444" si="19">SUM(H445:H446)</f>
        <v>64700</v>
      </c>
      <c r="I444" s="51"/>
      <c r="J444" s="7"/>
    </row>
    <row r="445" customHeight="true" spans="2:8">
      <c r="B445" s="6" t="s">
        <v>414</v>
      </c>
      <c r="C445" s="5" t="s">
        <v>535</v>
      </c>
      <c r="D445" s="53">
        <v>10000</v>
      </c>
      <c r="E445" s="5" t="s">
        <v>535</v>
      </c>
      <c r="F445" s="53">
        <v>10000</v>
      </c>
      <c r="G445" s="5" t="s">
        <v>916</v>
      </c>
      <c r="H445" s="53">
        <v>10000</v>
      </c>
    </row>
    <row r="446" customHeight="true" spans="2:8">
      <c r="B446" s="55" t="s">
        <v>638</v>
      </c>
      <c r="C446" s="5" t="s">
        <v>944</v>
      </c>
      <c r="D446" s="53">
        <v>15000</v>
      </c>
      <c r="E446" s="5" t="s">
        <v>622</v>
      </c>
      <c r="F446" s="53">
        <v>15000</v>
      </c>
      <c r="G446" s="5" t="s">
        <v>916</v>
      </c>
      <c r="H446" s="53">
        <v>54700</v>
      </c>
    </row>
    <row r="447" customHeight="true" spans="1:9">
      <c r="A447" s="11">
        <v>51</v>
      </c>
      <c r="B447" s="51"/>
      <c r="C447" s="11"/>
      <c r="D447" s="54">
        <f>SUM(D448:D456)</f>
        <v>46288</v>
      </c>
      <c r="E447" s="54"/>
      <c r="F447" s="54">
        <f>SUM(F448:F456)-F453</f>
        <v>43088</v>
      </c>
      <c r="G447" s="54"/>
      <c r="H447" s="54">
        <f t="shared" ref="H447" si="20">SUM(H448:H456)</f>
        <v>46288</v>
      </c>
      <c r="I447" s="51"/>
    </row>
    <row r="448" customHeight="true" spans="2:8">
      <c r="B448" s="6" t="s">
        <v>945</v>
      </c>
      <c r="C448" s="5" t="s">
        <v>552</v>
      </c>
      <c r="D448" s="53">
        <v>4000</v>
      </c>
      <c r="E448" s="5" t="s">
        <v>718</v>
      </c>
      <c r="F448" s="53">
        <v>2000</v>
      </c>
      <c r="G448" s="5" t="s">
        <v>946</v>
      </c>
      <c r="H448" s="53">
        <v>2000</v>
      </c>
    </row>
    <row r="449" customHeight="true" spans="4:8">
      <c r="D449" s="53"/>
      <c r="E449" s="5" t="s">
        <v>947</v>
      </c>
      <c r="F449" s="53">
        <v>2000</v>
      </c>
      <c r="G449" s="5" t="s">
        <v>948</v>
      </c>
      <c r="H449" s="53">
        <v>2000</v>
      </c>
    </row>
    <row r="450" customHeight="true" spans="2:8">
      <c r="B450" s="6" t="s">
        <v>949</v>
      </c>
      <c r="C450" s="5" t="s">
        <v>950</v>
      </c>
      <c r="D450" s="53">
        <v>6800</v>
      </c>
      <c r="E450" s="5" t="s">
        <v>756</v>
      </c>
      <c r="F450" s="61">
        <v>17600</v>
      </c>
      <c r="G450" s="5" t="s">
        <v>392</v>
      </c>
      <c r="H450" s="53">
        <v>6800</v>
      </c>
    </row>
    <row r="451" customHeight="true" spans="2:8">
      <c r="B451" s="6" t="s">
        <v>951</v>
      </c>
      <c r="C451" s="5" t="s">
        <v>950</v>
      </c>
      <c r="D451" s="53">
        <v>10800</v>
      </c>
      <c r="F451" s="61"/>
      <c r="G451" s="5" t="s">
        <v>392</v>
      </c>
      <c r="H451" s="53">
        <v>10800</v>
      </c>
    </row>
    <row r="452" customHeight="true" spans="2:12">
      <c r="B452" s="6" t="s">
        <v>952</v>
      </c>
      <c r="C452" s="5" t="s">
        <v>552</v>
      </c>
      <c r="D452" s="53">
        <v>8000</v>
      </c>
      <c r="E452" s="5">
        <v>2021.2</v>
      </c>
      <c r="F452" s="53">
        <v>4800</v>
      </c>
      <c r="G452" s="5" t="s">
        <v>953</v>
      </c>
      <c r="H452" s="61">
        <v>8000</v>
      </c>
      <c r="I452" s="55"/>
      <c r="L452" s="7"/>
    </row>
    <row r="453" customHeight="true" spans="4:11">
      <c r="D453" s="53"/>
      <c r="E453" s="56">
        <v>2021.12</v>
      </c>
      <c r="F453" s="57">
        <v>3200</v>
      </c>
      <c r="H453" s="61"/>
      <c r="K453" s="11"/>
    </row>
    <row r="454" s="7" customFormat="true" customHeight="true" spans="1:12">
      <c r="A454" s="5"/>
      <c r="B454" s="6" t="s">
        <v>954</v>
      </c>
      <c r="C454" s="5" t="s">
        <v>552</v>
      </c>
      <c r="D454" s="53">
        <v>10000</v>
      </c>
      <c r="E454" s="5" t="s">
        <v>580</v>
      </c>
      <c r="F454" s="53">
        <v>3200</v>
      </c>
      <c r="G454" s="5" t="s">
        <v>953</v>
      </c>
      <c r="H454" s="61">
        <v>10000</v>
      </c>
      <c r="I454" s="55"/>
      <c r="J454" s="8"/>
      <c r="K454" s="5"/>
      <c r="L454" s="8"/>
    </row>
    <row r="455" customHeight="true" spans="4:10">
      <c r="D455" s="53"/>
      <c r="E455" s="5" t="s">
        <v>426</v>
      </c>
      <c r="F455" s="53">
        <v>6800</v>
      </c>
      <c r="H455" s="61"/>
      <c r="J455" s="7"/>
    </row>
    <row r="456" customHeight="true" spans="2:8">
      <c r="B456" s="6" t="s">
        <v>955</v>
      </c>
      <c r="C456" s="5" t="s">
        <v>956</v>
      </c>
      <c r="D456" s="53">
        <v>6688</v>
      </c>
      <c r="E456" s="5" t="s">
        <v>717</v>
      </c>
      <c r="F456" s="53">
        <v>6688</v>
      </c>
      <c r="G456" s="5" t="s">
        <v>718</v>
      </c>
      <c r="H456" s="53">
        <v>6688</v>
      </c>
    </row>
    <row r="457" customHeight="true" spans="2:9">
      <c r="B457" s="6" t="s">
        <v>957</v>
      </c>
      <c r="C457" s="58" t="s">
        <v>958</v>
      </c>
      <c r="D457" s="59">
        <v>3000</v>
      </c>
      <c r="E457" s="58"/>
      <c r="F457" s="59"/>
      <c r="G457" s="58" t="s">
        <v>959</v>
      </c>
      <c r="H457" s="59">
        <v>3000</v>
      </c>
      <c r="I457" s="55" t="s">
        <v>960</v>
      </c>
    </row>
    <row r="458" customHeight="true" spans="1:9">
      <c r="A458" s="11">
        <v>52</v>
      </c>
      <c r="B458" s="51"/>
      <c r="C458" s="11"/>
      <c r="D458" s="54">
        <f>D459+D460</f>
        <v>39800</v>
      </c>
      <c r="E458" s="54"/>
      <c r="F458" s="54">
        <f t="shared" ref="F458" si="21">F459+F460</f>
        <v>39800</v>
      </c>
      <c r="G458" s="54"/>
      <c r="H458" s="54">
        <f>SUM(H459:H464)</f>
        <v>60847.54</v>
      </c>
      <c r="I458" s="51"/>
    </row>
    <row r="459" customHeight="true" spans="2:11">
      <c r="B459" s="55" t="s">
        <v>362</v>
      </c>
      <c r="C459" s="5" t="s">
        <v>961</v>
      </c>
      <c r="D459" s="53">
        <v>29800</v>
      </c>
      <c r="E459" s="5" t="s">
        <v>759</v>
      </c>
      <c r="F459" s="53">
        <v>29800</v>
      </c>
      <c r="G459" s="5" t="s">
        <v>594</v>
      </c>
      <c r="H459" s="53">
        <v>29800</v>
      </c>
      <c r="K459" s="11"/>
    </row>
    <row r="460" s="7" customFormat="true" customHeight="true" spans="1:11">
      <c r="A460" s="5"/>
      <c r="B460" s="6" t="s">
        <v>414</v>
      </c>
      <c r="C460" s="5" t="s">
        <v>718</v>
      </c>
      <c r="D460" s="53">
        <v>10000</v>
      </c>
      <c r="E460" s="5" t="s">
        <v>718</v>
      </c>
      <c r="F460" s="53">
        <v>10000</v>
      </c>
      <c r="G460" s="5" t="s">
        <v>962</v>
      </c>
      <c r="H460" s="53">
        <v>21125.85</v>
      </c>
      <c r="I460" s="6"/>
      <c r="J460" s="8"/>
      <c r="K460" s="5"/>
    </row>
    <row r="461" customHeight="true" spans="2:12">
      <c r="B461" s="6" t="s">
        <v>414</v>
      </c>
      <c r="C461" s="56" t="s">
        <v>642</v>
      </c>
      <c r="D461" s="57">
        <v>30000</v>
      </c>
      <c r="E461" s="56" t="s">
        <v>642</v>
      </c>
      <c r="F461" s="57">
        <v>30000</v>
      </c>
      <c r="G461" s="5" t="s">
        <v>594</v>
      </c>
      <c r="H461" s="53">
        <v>2271.2</v>
      </c>
      <c r="L461" s="7"/>
    </row>
    <row r="462" customHeight="true" spans="4:11">
      <c r="D462" s="53"/>
      <c r="F462" s="53"/>
      <c r="G462" s="5" t="s">
        <v>625</v>
      </c>
      <c r="H462" s="53">
        <v>2421.45</v>
      </c>
      <c r="J462" s="7"/>
      <c r="K462" s="11"/>
    </row>
    <row r="463" s="7" customFormat="true" customHeight="true" spans="1:12">
      <c r="A463" s="5"/>
      <c r="B463" s="6"/>
      <c r="C463" s="5"/>
      <c r="D463" s="53"/>
      <c r="E463" s="5"/>
      <c r="F463" s="53"/>
      <c r="G463" s="5" t="s">
        <v>829</v>
      </c>
      <c r="H463" s="53">
        <v>2343.3</v>
      </c>
      <c r="I463" s="6" t="s">
        <v>937</v>
      </c>
      <c r="J463" s="8"/>
      <c r="K463" s="5"/>
      <c r="L463" s="8"/>
    </row>
    <row r="464" customHeight="true" spans="4:10">
      <c r="D464" s="53"/>
      <c r="F464" s="53"/>
      <c r="G464" s="5" t="s">
        <v>886</v>
      </c>
      <c r="H464" s="53">
        <v>2885.74</v>
      </c>
      <c r="J464" s="7"/>
    </row>
    <row r="465" customHeight="true" spans="1:9">
      <c r="A465" s="11">
        <v>54</v>
      </c>
      <c r="B465" s="51"/>
      <c r="C465" s="11"/>
      <c r="D465" s="54">
        <f>D466</f>
        <v>80000</v>
      </c>
      <c r="E465" s="54"/>
      <c r="F465" s="54">
        <f>F466</f>
        <v>90000</v>
      </c>
      <c r="G465" s="54"/>
      <c r="H465" s="54">
        <f t="shared" ref="H465" si="22">H466</f>
        <v>80000</v>
      </c>
      <c r="I465" s="51"/>
    </row>
    <row r="466" customHeight="true" spans="2:12">
      <c r="B466" s="55" t="s">
        <v>362</v>
      </c>
      <c r="C466" s="5" t="s">
        <v>963</v>
      </c>
      <c r="D466" s="53">
        <v>80000</v>
      </c>
      <c r="E466" s="5" t="s">
        <v>964</v>
      </c>
      <c r="F466" s="53">
        <v>90000</v>
      </c>
      <c r="G466" s="5" t="s">
        <v>538</v>
      </c>
      <c r="H466" s="53">
        <v>80000</v>
      </c>
      <c r="L466" s="7"/>
    </row>
    <row r="467" customHeight="true" spans="1:11">
      <c r="A467" s="11">
        <v>55</v>
      </c>
      <c r="B467" s="51"/>
      <c r="C467" s="11"/>
      <c r="D467" s="54">
        <f t="shared" ref="D467" si="23">SUM(D468:D471)</f>
        <v>90000</v>
      </c>
      <c r="E467" s="54"/>
      <c r="F467" s="54">
        <f>SUM(F468:F471)</f>
        <v>95000</v>
      </c>
      <c r="G467" s="54"/>
      <c r="H467" s="54">
        <f>SUM(H468:H471)</f>
        <v>98312.11</v>
      </c>
      <c r="I467" s="51"/>
      <c r="K467" s="11"/>
    </row>
    <row r="468" s="7" customFormat="true" customHeight="true" spans="1:12">
      <c r="A468" s="5"/>
      <c r="B468" s="55" t="s">
        <v>362</v>
      </c>
      <c r="C468" s="5" t="s">
        <v>537</v>
      </c>
      <c r="D468" s="53">
        <v>80000</v>
      </c>
      <c r="E468" s="5" t="s">
        <v>555</v>
      </c>
      <c r="F468" s="53">
        <v>85000</v>
      </c>
      <c r="G468" s="5" t="s">
        <v>965</v>
      </c>
      <c r="H468" s="53">
        <v>80000</v>
      </c>
      <c r="I468" s="6"/>
      <c r="J468" s="8"/>
      <c r="K468" s="5"/>
      <c r="L468" s="8"/>
    </row>
    <row r="469" customHeight="true" spans="2:10">
      <c r="B469" s="6" t="s">
        <v>414</v>
      </c>
      <c r="C469" s="5" t="s">
        <v>869</v>
      </c>
      <c r="D469" s="53">
        <v>10000</v>
      </c>
      <c r="E469" s="5" t="s">
        <v>966</v>
      </c>
      <c r="F469" s="53">
        <v>10000</v>
      </c>
      <c r="G469" s="5" t="s">
        <v>714</v>
      </c>
      <c r="H469" s="53">
        <v>5938.9</v>
      </c>
      <c r="J469" s="7"/>
    </row>
    <row r="470" customHeight="true" spans="4:8">
      <c r="D470" s="53"/>
      <c r="F470" s="53"/>
      <c r="G470" s="5" t="s">
        <v>967</v>
      </c>
      <c r="H470" s="53">
        <v>5859.77</v>
      </c>
    </row>
    <row r="471" customHeight="true" spans="4:8">
      <c r="D471" s="53"/>
      <c r="F471" s="53"/>
      <c r="G471" s="5" t="s">
        <v>598</v>
      </c>
      <c r="H471" s="53">
        <v>6513.44</v>
      </c>
    </row>
    <row r="472" customHeight="true" spans="1:9">
      <c r="A472" s="11">
        <v>57</v>
      </c>
      <c r="B472" s="51"/>
      <c r="C472" s="11"/>
      <c r="D472" s="54">
        <f>D473</f>
        <v>30000</v>
      </c>
      <c r="E472" s="54"/>
      <c r="F472" s="54">
        <f>F473</f>
        <v>30000</v>
      </c>
      <c r="G472" s="54"/>
      <c r="H472" s="54">
        <f>H473</f>
        <v>30000</v>
      </c>
      <c r="I472" s="51"/>
    </row>
    <row r="473" customHeight="true" spans="2:8">
      <c r="B473" s="55" t="s">
        <v>638</v>
      </c>
      <c r="C473" s="5" t="s">
        <v>968</v>
      </c>
      <c r="D473" s="53">
        <v>30000</v>
      </c>
      <c r="E473" s="5" t="s">
        <v>366</v>
      </c>
      <c r="F473" s="53">
        <v>30000</v>
      </c>
      <c r="G473" s="5" t="s">
        <v>457</v>
      </c>
      <c r="H473" s="53">
        <v>30000</v>
      </c>
    </row>
    <row r="474" customHeight="true" spans="2:8">
      <c r="B474" s="55" t="s">
        <v>638</v>
      </c>
      <c r="C474" s="56" t="s">
        <v>969</v>
      </c>
      <c r="D474" s="57">
        <v>30000</v>
      </c>
      <c r="E474" s="56" t="s">
        <v>970</v>
      </c>
      <c r="F474" s="60">
        <v>119600</v>
      </c>
      <c r="G474" s="56" t="s">
        <v>971</v>
      </c>
      <c r="H474" s="57">
        <v>30000</v>
      </c>
    </row>
    <row r="475" customHeight="true" spans="1:8">
      <c r="A475" s="8"/>
      <c r="B475" s="55" t="s">
        <v>362</v>
      </c>
      <c r="C475" s="56" t="s">
        <v>568</v>
      </c>
      <c r="D475" s="57">
        <v>59600</v>
      </c>
      <c r="E475" s="56"/>
      <c r="F475" s="60"/>
      <c r="G475" s="56" t="s">
        <v>971</v>
      </c>
      <c r="H475" s="57">
        <v>59600</v>
      </c>
    </row>
    <row r="476" customHeight="true" spans="1:8">
      <c r="A476" s="8"/>
      <c r="B476" s="6" t="s">
        <v>414</v>
      </c>
      <c r="C476" s="56" t="s">
        <v>375</v>
      </c>
      <c r="D476" s="57">
        <v>30000</v>
      </c>
      <c r="E476" s="56"/>
      <c r="F476" s="60"/>
      <c r="G476" s="56" t="s">
        <v>972</v>
      </c>
      <c r="H476" s="57">
        <v>30000</v>
      </c>
    </row>
    <row r="477" customHeight="true" spans="1:9">
      <c r="A477" s="8"/>
      <c r="B477" s="55" t="s">
        <v>973</v>
      </c>
      <c r="D477" s="53"/>
      <c r="E477" s="58" t="s">
        <v>827</v>
      </c>
      <c r="F477" s="59">
        <v>1980</v>
      </c>
      <c r="G477" s="58" t="s">
        <v>699</v>
      </c>
      <c r="H477" s="59">
        <v>1980</v>
      </c>
      <c r="I477" s="55" t="s">
        <v>577</v>
      </c>
    </row>
    <row r="478" customHeight="true" spans="1:8">
      <c r="A478" s="8"/>
      <c r="D478" s="53"/>
      <c r="F478" s="53"/>
      <c r="H478" s="53"/>
    </row>
  </sheetData>
  <autoFilter ref="A2:J477">
    <extLst/>
  </autoFilter>
  <mergeCells count="44">
    <mergeCell ref="C1:D1"/>
    <mergeCell ref="E1:F1"/>
    <mergeCell ref="G1:H1"/>
    <mergeCell ref="A1:A2"/>
    <mergeCell ref="B1:B2"/>
    <mergeCell ref="E22:E23"/>
    <mergeCell ref="E62:E64"/>
    <mergeCell ref="E130:E131"/>
    <mergeCell ref="E133:E134"/>
    <mergeCell ref="E142:E143"/>
    <mergeCell ref="E153:E154"/>
    <mergeCell ref="E167:E168"/>
    <mergeCell ref="E227:E228"/>
    <mergeCell ref="E334:E335"/>
    <mergeCell ref="E396:E397"/>
    <mergeCell ref="E450:E451"/>
    <mergeCell ref="E474:E476"/>
    <mergeCell ref="F22:F23"/>
    <mergeCell ref="F62:F64"/>
    <mergeCell ref="F130:F131"/>
    <mergeCell ref="F133:F134"/>
    <mergeCell ref="F142:F143"/>
    <mergeCell ref="F153:F154"/>
    <mergeCell ref="F167:F168"/>
    <mergeCell ref="F227:F228"/>
    <mergeCell ref="F334:F335"/>
    <mergeCell ref="F396:F397"/>
    <mergeCell ref="F450:F451"/>
    <mergeCell ref="F474:F476"/>
    <mergeCell ref="G13:G14"/>
    <mergeCell ref="G15:G16"/>
    <mergeCell ref="G18:G19"/>
    <mergeCell ref="G64:G65"/>
    <mergeCell ref="G139:G141"/>
    <mergeCell ref="G452:G453"/>
    <mergeCell ref="G454:G455"/>
    <mergeCell ref="H13:H14"/>
    <mergeCell ref="H15:H16"/>
    <mergeCell ref="H18:H19"/>
    <mergeCell ref="H64:H65"/>
    <mergeCell ref="H139:H141"/>
    <mergeCell ref="H452:H453"/>
    <mergeCell ref="H454:H455"/>
    <mergeCell ref="I64:I65"/>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12" workbookViewId="0">
      <selection activeCell="F13" sqref="F13"/>
    </sheetView>
  </sheetViews>
  <sheetFormatPr defaultColWidth="9" defaultRowHeight="18" customHeight="true"/>
  <cols>
    <col min="1" max="1" width="7" style="18" customWidth="true"/>
    <col min="2" max="2" width="30" style="18" customWidth="true"/>
    <col min="3" max="4" width="8.775" style="18" customWidth="true"/>
    <col min="5" max="5" width="9.775" style="18" customWidth="true"/>
    <col min="6" max="6" width="8.775" style="18" customWidth="true"/>
    <col min="7" max="7" width="9.775" style="18" customWidth="true"/>
    <col min="8" max="9" width="8.775" style="18" customWidth="true"/>
    <col min="10" max="11" width="8.88333333333333" style="18"/>
    <col min="12" max="12" width="9.33333333333333" style="19" customWidth="true"/>
    <col min="13" max="13" width="8.88333333333333" style="18"/>
    <col min="14" max="14" width="9.33333333333333" style="18" customWidth="true"/>
    <col min="15" max="16384" width="8.88333333333333" style="18"/>
  </cols>
  <sheetData>
    <row r="1" ht="40.8" customHeight="true" spans="1:9">
      <c r="A1" s="20" t="s">
        <v>974</v>
      </c>
      <c r="B1" s="21"/>
      <c r="C1" s="21"/>
      <c r="D1" s="21"/>
      <c r="E1" s="21"/>
      <c r="F1" s="21"/>
      <c r="G1" s="21"/>
      <c r="H1" s="21"/>
      <c r="I1" s="21"/>
    </row>
    <row r="2" customHeight="true" spans="1:9">
      <c r="A2" s="22" t="s">
        <v>975</v>
      </c>
      <c r="B2" s="22" t="s">
        <v>976</v>
      </c>
      <c r="C2" s="23" t="s">
        <v>977</v>
      </c>
      <c r="D2" s="23"/>
      <c r="E2" s="23" t="s">
        <v>978</v>
      </c>
      <c r="F2" s="23"/>
      <c r="G2" s="23" t="s">
        <v>979</v>
      </c>
      <c r="H2" s="23"/>
      <c r="I2" s="23" t="s">
        <v>980</v>
      </c>
    </row>
    <row r="3" customHeight="true" spans="1:12">
      <c r="A3" s="24"/>
      <c r="B3" s="24"/>
      <c r="C3" s="23" t="s">
        <v>981</v>
      </c>
      <c r="D3" s="23" t="s">
        <v>982</v>
      </c>
      <c r="E3" s="23" t="s">
        <v>981</v>
      </c>
      <c r="F3" s="23" t="s">
        <v>982</v>
      </c>
      <c r="G3" s="23" t="s">
        <v>981</v>
      </c>
      <c r="H3" s="23" t="s">
        <v>982</v>
      </c>
      <c r="I3" s="23"/>
      <c r="K3" s="41" t="s">
        <v>983</v>
      </c>
      <c r="L3" s="42" t="s">
        <v>984</v>
      </c>
    </row>
    <row r="4" customHeight="true" spans="1:14">
      <c r="A4" s="25" t="s">
        <v>985</v>
      </c>
      <c r="B4" s="26"/>
      <c r="C4" s="27"/>
      <c r="D4" s="28"/>
      <c r="E4" s="27"/>
      <c r="F4" s="28">
        <f t="shared" ref="F4" si="0">SUM(F5:F32)</f>
        <v>97712.96</v>
      </c>
      <c r="G4" s="28"/>
      <c r="H4" s="28">
        <f>SUM(H5:H32)</f>
        <v>97637.41</v>
      </c>
      <c r="I4" s="28">
        <f>SUM(I5:I32)</f>
        <v>93365.41</v>
      </c>
      <c r="L4" s="43">
        <f>SUM(L5:L25)</f>
        <v>80987.62</v>
      </c>
      <c r="M4" s="46"/>
      <c r="N4" s="46"/>
    </row>
    <row r="5" customHeight="true" spans="1:14">
      <c r="A5" s="29">
        <v>1</v>
      </c>
      <c r="B5" s="30" t="s">
        <v>986</v>
      </c>
      <c r="C5" s="31"/>
      <c r="D5" s="32"/>
      <c r="E5" s="29" t="s">
        <v>732</v>
      </c>
      <c r="F5" s="35">
        <v>500</v>
      </c>
      <c r="G5" s="29" t="s">
        <v>594</v>
      </c>
      <c r="H5" s="36">
        <v>10788</v>
      </c>
      <c r="I5" s="44">
        <f>SUM(F5:F9)</f>
        <v>6516</v>
      </c>
      <c r="K5" s="45">
        <v>2020.1</v>
      </c>
      <c r="L5" s="46">
        <v>664.92</v>
      </c>
      <c r="M5" s="46"/>
      <c r="N5" s="46"/>
    </row>
    <row r="6" customHeight="true" spans="1:14">
      <c r="A6" s="29">
        <v>2</v>
      </c>
      <c r="B6" s="30" t="s">
        <v>986</v>
      </c>
      <c r="C6" s="31"/>
      <c r="D6" s="32"/>
      <c r="E6" s="29" t="s">
        <v>987</v>
      </c>
      <c r="F6" s="35">
        <v>100</v>
      </c>
      <c r="G6" s="29"/>
      <c r="H6" s="36"/>
      <c r="I6" s="29"/>
      <c r="K6" s="45">
        <v>2020.2</v>
      </c>
      <c r="L6" s="46">
        <v>316.5</v>
      </c>
      <c r="M6" s="46"/>
      <c r="N6" s="46"/>
    </row>
    <row r="7" customHeight="true" spans="1:14">
      <c r="A7" s="29">
        <v>3</v>
      </c>
      <c r="B7" s="30" t="s">
        <v>986</v>
      </c>
      <c r="C7" s="31"/>
      <c r="D7" s="32"/>
      <c r="E7" s="29" t="s">
        <v>987</v>
      </c>
      <c r="F7" s="35">
        <v>500</v>
      </c>
      <c r="G7" s="29"/>
      <c r="H7" s="36"/>
      <c r="I7" s="29"/>
      <c r="K7" s="45">
        <v>2020.3</v>
      </c>
      <c r="L7" s="46">
        <v>3882.45</v>
      </c>
      <c r="M7" s="46"/>
      <c r="N7" s="46"/>
    </row>
    <row r="8" customHeight="true" spans="1:14">
      <c r="A8" s="29">
        <v>4</v>
      </c>
      <c r="B8" s="30" t="s">
        <v>986</v>
      </c>
      <c r="C8" s="31"/>
      <c r="D8" s="32"/>
      <c r="E8" s="29" t="s">
        <v>607</v>
      </c>
      <c r="F8" s="35">
        <v>500</v>
      </c>
      <c r="G8" s="29"/>
      <c r="H8" s="36"/>
      <c r="I8" s="29"/>
      <c r="K8" s="45">
        <v>2020.4</v>
      </c>
      <c r="L8" s="46">
        <v>197.14</v>
      </c>
      <c r="M8" s="46"/>
      <c r="N8" s="46"/>
    </row>
    <row r="9" customHeight="true" spans="1:14">
      <c r="A9" s="29">
        <v>5</v>
      </c>
      <c r="B9" s="30" t="s">
        <v>986</v>
      </c>
      <c r="C9" s="31"/>
      <c r="D9" s="32"/>
      <c r="E9" s="29" t="s">
        <v>503</v>
      </c>
      <c r="F9" s="35">
        <v>4916</v>
      </c>
      <c r="G9" s="29"/>
      <c r="H9" s="36"/>
      <c r="I9" s="29"/>
      <c r="K9" s="45">
        <v>2020.5</v>
      </c>
      <c r="L9" s="46">
        <v>11783.38</v>
      </c>
      <c r="M9" s="46"/>
      <c r="N9" s="46"/>
    </row>
    <row r="10" customHeight="true" spans="1:14">
      <c r="A10" s="33">
        <v>6</v>
      </c>
      <c r="B10" s="34" t="s">
        <v>988</v>
      </c>
      <c r="C10" s="27"/>
      <c r="D10" s="28"/>
      <c r="E10" s="33" t="s">
        <v>989</v>
      </c>
      <c r="F10" s="37">
        <v>200</v>
      </c>
      <c r="G10" s="33" t="s">
        <v>796</v>
      </c>
      <c r="H10" s="38">
        <v>700</v>
      </c>
      <c r="I10" s="47">
        <f>H10</f>
        <v>700</v>
      </c>
      <c r="J10" s="40"/>
      <c r="K10" s="45">
        <v>2020.6</v>
      </c>
      <c r="L10" s="46">
        <v>216.75</v>
      </c>
      <c r="M10" s="46"/>
      <c r="N10" s="46"/>
    </row>
    <row r="11" customHeight="true" spans="1:14">
      <c r="A11" s="33">
        <v>7</v>
      </c>
      <c r="B11" s="34" t="s">
        <v>988</v>
      </c>
      <c r="C11" s="27"/>
      <c r="D11" s="28"/>
      <c r="E11" s="39" t="s">
        <v>990</v>
      </c>
      <c r="F11" s="37">
        <v>300</v>
      </c>
      <c r="G11" s="33"/>
      <c r="H11" s="38"/>
      <c r="I11" s="23"/>
      <c r="J11" s="40"/>
      <c r="K11" s="45">
        <v>2020.7</v>
      </c>
      <c r="L11" s="46">
        <v>6694.43</v>
      </c>
      <c r="M11" s="46"/>
      <c r="N11" s="46"/>
    </row>
    <row r="12" customHeight="true" spans="1:14">
      <c r="A12" s="33">
        <v>8</v>
      </c>
      <c r="B12" s="34" t="s">
        <v>988</v>
      </c>
      <c r="C12" s="27"/>
      <c r="D12" s="28"/>
      <c r="E12" s="39" t="s">
        <v>991</v>
      </c>
      <c r="F12" s="37">
        <v>200</v>
      </c>
      <c r="G12" s="33"/>
      <c r="H12" s="38"/>
      <c r="I12" s="23"/>
      <c r="J12" s="40"/>
      <c r="K12" s="45">
        <v>2020.8</v>
      </c>
      <c r="L12" s="46">
        <v>311.16</v>
      </c>
      <c r="M12" s="46"/>
      <c r="N12" s="46"/>
    </row>
    <row r="13" customHeight="true" spans="1:14">
      <c r="A13" s="33">
        <v>9</v>
      </c>
      <c r="B13" s="34" t="s">
        <v>988</v>
      </c>
      <c r="C13" s="27"/>
      <c r="D13" s="28"/>
      <c r="E13" s="33" t="s">
        <v>871</v>
      </c>
      <c r="F13" s="37">
        <v>500</v>
      </c>
      <c r="G13" s="33" t="s">
        <v>899</v>
      </c>
      <c r="H13" s="37">
        <v>500</v>
      </c>
      <c r="I13" s="48">
        <f t="shared" ref="I13:I32" si="1">H13</f>
        <v>500</v>
      </c>
      <c r="J13" s="40"/>
      <c r="K13" s="45">
        <v>2020.9</v>
      </c>
      <c r="L13" s="46">
        <v>968.18</v>
      </c>
      <c r="M13" s="46"/>
      <c r="N13" s="46"/>
    </row>
    <row r="14" customHeight="true" spans="1:14">
      <c r="A14" s="33">
        <v>10</v>
      </c>
      <c r="B14" s="34" t="s">
        <v>988</v>
      </c>
      <c r="C14" s="27"/>
      <c r="D14" s="28"/>
      <c r="E14" s="33" t="s">
        <v>378</v>
      </c>
      <c r="F14" s="37">
        <v>500</v>
      </c>
      <c r="G14" s="33" t="s">
        <v>387</v>
      </c>
      <c r="H14" s="37">
        <v>500</v>
      </c>
      <c r="I14" s="48">
        <f t="shared" si="1"/>
        <v>500</v>
      </c>
      <c r="J14" s="40"/>
      <c r="K14" s="49" t="s">
        <v>992</v>
      </c>
      <c r="L14" s="46">
        <v>808.39</v>
      </c>
      <c r="M14" s="46"/>
      <c r="N14" s="46"/>
    </row>
    <row r="15" customHeight="true" spans="1:14">
      <c r="A15" s="33">
        <v>11</v>
      </c>
      <c r="B15" s="34" t="s">
        <v>993</v>
      </c>
      <c r="C15" s="27"/>
      <c r="D15" s="28"/>
      <c r="E15" s="33" t="s">
        <v>994</v>
      </c>
      <c r="F15" s="37">
        <v>11000</v>
      </c>
      <c r="G15" s="33" t="s">
        <v>995</v>
      </c>
      <c r="H15" s="37">
        <v>11000</v>
      </c>
      <c r="I15" s="48">
        <f t="shared" si="1"/>
        <v>11000</v>
      </c>
      <c r="J15" s="40"/>
      <c r="K15" s="45">
        <v>2020.11</v>
      </c>
      <c r="L15" s="46">
        <v>529.18</v>
      </c>
      <c r="M15" s="46"/>
      <c r="N15" s="46"/>
    </row>
    <row r="16" customHeight="true" spans="1:14">
      <c r="A16" s="33">
        <v>12</v>
      </c>
      <c r="B16" s="34" t="s">
        <v>996</v>
      </c>
      <c r="C16" s="27"/>
      <c r="D16" s="28"/>
      <c r="E16" s="33" t="s">
        <v>997</v>
      </c>
      <c r="F16" s="37">
        <v>69</v>
      </c>
      <c r="G16" s="33" t="s">
        <v>997</v>
      </c>
      <c r="H16" s="37">
        <v>69</v>
      </c>
      <c r="I16" s="48">
        <f t="shared" si="1"/>
        <v>69</v>
      </c>
      <c r="J16" s="40"/>
      <c r="K16" s="45">
        <v>2020.12</v>
      </c>
      <c r="L16" s="46">
        <v>474.6</v>
      </c>
      <c r="M16" s="46"/>
      <c r="N16" s="46"/>
    </row>
    <row r="17" customHeight="true" spans="1:14">
      <c r="A17" s="33">
        <v>13</v>
      </c>
      <c r="B17" s="34" t="s">
        <v>996</v>
      </c>
      <c r="C17" s="27"/>
      <c r="D17" s="28"/>
      <c r="E17" s="33" t="s">
        <v>791</v>
      </c>
      <c r="F17" s="37">
        <v>345</v>
      </c>
      <c r="G17" s="33" t="s">
        <v>371</v>
      </c>
      <c r="H17" s="37">
        <v>345</v>
      </c>
      <c r="I17" s="48">
        <f t="shared" si="1"/>
        <v>345</v>
      </c>
      <c r="J17" s="40"/>
      <c r="K17" s="45">
        <v>2021.1</v>
      </c>
      <c r="L17" s="46">
        <v>217.13</v>
      </c>
      <c r="M17" s="46"/>
      <c r="N17" s="46"/>
    </row>
    <row r="18" customHeight="true" spans="1:14">
      <c r="A18" s="33">
        <v>14</v>
      </c>
      <c r="B18" s="34" t="s">
        <v>996</v>
      </c>
      <c r="C18" s="27"/>
      <c r="D18" s="28"/>
      <c r="E18" s="33" t="s">
        <v>714</v>
      </c>
      <c r="F18" s="37">
        <v>69</v>
      </c>
      <c r="G18" s="33" t="s">
        <v>714</v>
      </c>
      <c r="H18" s="37">
        <v>69</v>
      </c>
      <c r="I18" s="48">
        <f t="shared" si="1"/>
        <v>69</v>
      </c>
      <c r="J18" s="40"/>
      <c r="K18" s="45">
        <v>2021.2</v>
      </c>
      <c r="L18" s="46">
        <v>21655.11</v>
      </c>
      <c r="M18" s="46"/>
      <c r="N18" s="46"/>
    </row>
    <row r="19" customHeight="true" spans="1:14">
      <c r="A19" s="33">
        <v>15</v>
      </c>
      <c r="B19" s="34" t="s">
        <v>996</v>
      </c>
      <c r="C19" s="27"/>
      <c r="D19" s="28"/>
      <c r="E19" s="33" t="s">
        <v>360</v>
      </c>
      <c r="F19" s="37">
        <v>138</v>
      </c>
      <c r="G19" s="33" t="s">
        <v>360</v>
      </c>
      <c r="H19" s="37">
        <v>138</v>
      </c>
      <c r="I19" s="48">
        <f t="shared" si="1"/>
        <v>138</v>
      </c>
      <c r="J19" s="40"/>
      <c r="K19" s="45">
        <v>2021.3</v>
      </c>
      <c r="L19" s="46">
        <v>262.33</v>
      </c>
      <c r="M19" s="46"/>
      <c r="N19" s="46"/>
    </row>
    <row r="20" customHeight="true" spans="1:14">
      <c r="A20" s="33">
        <v>16</v>
      </c>
      <c r="B20" s="34" t="s">
        <v>996</v>
      </c>
      <c r="C20" s="27"/>
      <c r="D20" s="28"/>
      <c r="E20" s="33" t="s">
        <v>409</v>
      </c>
      <c r="F20" s="37">
        <v>69</v>
      </c>
      <c r="G20" s="33" t="s">
        <v>418</v>
      </c>
      <c r="H20" s="37">
        <v>69</v>
      </c>
      <c r="I20" s="48">
        <f t="shared" si="1"/>
        <v>69</v>
      </c>
      <c r="J20" s="40"/>
      <c r="K20" s="45">
        <v>2021.4</v>
      </c>
      <c r="L20" s="46">
        <v>10506.36</v>
      </c>
      <c r="M20" s="46"/>
      <c r="N20" s="46"/>
    </row>
    <row r="21" customHeight="true" spans="1:14">
      <c r="A21" s="33">
        <v>17</v>
      </c>
      <c r="B21" s="34" t="s">
        <v>996</v>
      </c>
      <c r="C21" s="27"/>
      <c r="D21" s="28"/>
      <c r="E21" s="33" t="s">
        <v>998</v>
      </c>
      <c r="F21" s="37">
        <v>69</v>
      </c>
      <c r="G21" s="33" t="s">
        <v>998</v>
      </c>
      <c r="H21" s="37">
        <v>69</v>
      </c>
      <c r="I21" s="48">
        <f t="shared" si="1"/>
        <v>69</v>
      </c>
      <c r="J21" s="40"/>
      <c r="K21" s="45">
        <v>2021.5</v>
      </c>
      <c r="L21" s="46">
        <v>333.97</v>
      </c>
      <c r="M21" s="46"/>
      <c r="N21" s="46"/>
    </row>
    <row r="22" customHeight="true" spans="1:14">
      <c r="A22" s="29">
        <v>18</v>
      </c>
      <c r="B22" s="30" t="s">
        <v>999</v>
      </c>
      <c r="C22" s="31"/>
      <c r="D22" s="32"/>
      <c r="E22" s="29" t="s">
        <v>1000</v>
      </c>
      <c r="F22" s="35">
        <v>3671.4</v>
      </c>
      <c r="G22" s="29" t="s">
        <v>739</v>
      </c>
      <c r="H22" s="35">
        <v>3671.4</v>
      </c>
      <c r="I22" s="50">
        <f t="shared" si="1"/>
        <v>3671.4</v>
      </c>
      <c r="J22" s="40"/>
      <c r="K22" s="45">
        <v>2021.6</v>
      </c>
      <c r="L22" s="46">
        <v>1774.14</v>
      </c>
      <c r="M22" s="46"/>
      <c r="N22" s="46"/>
    </row>
    <row r="23" customHeight="true" spans="1:14">
      <c r="A23" s="29">
        <v>19</v>
      </c>
      <c r="B23" s="30" t="s">
        <v>1001</v>
      </c>
      <c r="C23" s="31"/>
      <c r="D23" s="32"/>
      <c r="E23" s="29" t="s">
        <v>757</v>
      </c>
      <c r="F23" s="35">
        <v>1256.3</v>
      </c>
      <c r="G23" s="29" t="s">
        <v>427</v>
      </c>
      <c r="H23" s="35">
        <v>1256.3</v>
      </c>
      <c r="I23" s="50">
        <f t="shared" si="1"/>
        <v>1256.3</v>
      </c>
      <c r="J23" s="40"/>
      <c r="K23" s="45">
        <v>2020.7</v>
      </c>
      <c r="L23" s="46">
        <v>125.74</v>
      </c>
      <c r="M23" s="46"/>
      <c r="N23" s="46"/>
    </row>
    <row r="24" customHeight="true" spans="1:12">
      <c r="A24" s="29">
        <v>20</v>
      </c>
      <c r="B24" s="30" t="s">
        <v>1002</v>
      </c>
      <c r="C24" s="31"/>
      <c r="D24" s="32"/>
      <c r="E24" s="29" t="s">
        <v>1003</v>
      </c>
      <c r="F24" s="35">
        <v>10138.8</v>
      </c>
      <c r="G24" s="29" t="s">
        <v>939</v>
      </c>
      <c r="H24" s="35">
        <v>10138.8</v>
      </c>
      <c r="I24" s="50">
        <f t="shared" si="1"/>
        <v>10138.8</v>
      </c>
      <c r="J24" s="40"/>
      <c r="K24" s="45">
        <v>2020.12</v>
      </c>
      <c r="L24" s="19">
        <v>13349.76</v>
      </c>
    </row>
    <row r="25" customHeight="true" spans="1:12">
      <c r="A25" s="29">
        <v>21</v>
      </c>
      <c r="B25" s="30" t="s">
        <v>999</v>
      </c>
      <c r="C25" s="31"/>
      <c r="D25" s="32"/>
      <c r="E25" s="29" t="s">
        <v>714</v>
      </c>
      <c r="F25" s="35">
        <v>13349.76</v>
      </c>
      <c r="G25" s="29" t="s">
        <v>539</v>
      </c>
      <c r="H25" s="35">
        <v>13349.76</v>
      </c>
      <c r="I25" s="50">
        <f t="shared" si="1"/>
        <v>13349.76</v>
      </c>
      <c r="J25" s="40"/>
      <c r="K25" s="45">
        <v>2021.5</v>
      </c>
      <c r="L25" s="19">
        <v>5916</v>
      </c>
    </row>
    <row r="26" customHeight="true" spans="1:11">
      <c r="A26" s="29">
        <v>22</v>
      </c>
      <c r="B26" s="30" t="s">
        <v>999</v>
      </c>
      <c r="C26" s="31"/>
      <c r="D26" s="32"/>
      <c r="E26" s="29" t="s">
        <v>717</v>
      </c>
      <c r="F26" s="35">
        <v>10000</v>
      </c>
      <c r="G26" s="29" t="s">
        <v>539</v>
      </c>
      <c r="H26" s="35">
        <v>6152.45</v>
      </c>
      <c r="I26" s="50">
        <f t="shared" si="1"/>
        <v>6152.45</v>
      </c>
      <c r="J26" s="40"/>
      <c r="K26" s="45"/>
    </row>
    <row r="27" customHeight="true" spans="1:11">
      <c r="A27" s="29">
        <v>23</v>
      </c>
      <c r="B27" s="30" t="s">
        <v>1004</v>
      </c>
      <c r="C27" s="31"/>
      <c r="D27" s="32"/>
      <c r="E27" s="29" t="s">
        <v>512</v>
      </c>
      <c r="F27" s="35">
        <v>138</v>
      </c>
      <c r="G27" s="29" t="s">
        <v>834</v>
      </c>
      <c r="H27" s="35">
        <v>138</v>
      </c>
      <c r="I27" s="50">
        <f t="shared" si="1"/>
        <v>138</v>
      </c>
      <c r="J27" s="40"/>
      <c r="K27" s="45"/>
    </row>
    <row r="28" customHeight="true" spans="1:11">
      <c r="A28" s="29">
        <v>24</v>
      </c>
      <c r="B28" s="30" t="s">
        <v>999</v>
      </c>
      <c r="C28" s="31"/>
      <c r="D28" s="32"/>
      <c r="E28" s="29" t="s">
        <v>816</v>
      </c>
      <c r="F28" s="35">
        <v>18322.2</v>
      </c>
      <c r="G28" s="29" t="s">
        <v>499</v>
      </c>
      <c r="H28" s="36">
        <v>21372.6</v>
      </c>
      <c r="I28" s="44">
        <f t="shared" si="1"/>
        <v>21372.6</v>
      </c>
      <c r="J28" s="40"/>
      <c r="K28" s="45"/>
    </row>
    <row r="29" customHeight="true" spans="1:11">
      <c r="A29" s="29">
        <v>25</v>
      </c>
      <c r="B29" s="30" t="s">
        <v>999</v>
      </c>
      <c r="C29" s="31"/>
      <c r="D29" s="32"/>
      <c r="E29" s="29" t="s">
        <v>816</v>
      </c>
      <c r="F29" s="35">
        <v>3050.4</v>
      </c>
      <c r="G29" s="29"/>
      <c r="H29" s="36"/>
      <c r="I29" s="44"/>
      <c r="J29" s="40"/>
      <c r="K29" s="45"/>
    </row>
    <row r="30" customHeight="true" spans="1:10">
      <c r="A30" s="29">
        <v>26</v>
      </c>
      <c r="B30" s="30" t="s">
        <v>1002</v>
      </c>
      <c r="C30" s="31"/>
      <c r="D30" s="32"/>
      <c r="E30" s="29" t="s">
        <v>426</v>
      </c>
      <c r="F30" s="35">
        <v>10638.8</v>
      </c>
      <c r="G30" s="29" t="s">
        <v>356</v>
      </c>
      <c r="H30" s="35">
        <v>10138.8</v>
      </c>
      <c r="I30" s="50">
        <f t="shared" si="1"/>
        <v>10138.8</v>
      </c>
      <c r="J30" s="40"/>
    </row>
    <row r="31" customHeight="true" spans="1:10">
      <c r="A31" s="29">
        <v>27</v>
      </c>
      <c r="B31" s="30" t="s">
        <v>1002</v>
      </c>
      <c r="C31" s="31"/>
      <c r="D31" s="32"/>
      <c r="E31" s="29" t="s">
        <v>457</v>
      </c>
      <c r="F31" s="35">
        <v>5916</v>
      </c>
      <c r="G31" s="29" t="s">
        <v>467</v>
      </c>
      <c r="H31" s="35">
        <v>5916</v>
      </c>
      <c r="I31" s="50">
        <f t="shared" si="1"/>
        <v>5916</v>
      </c>
      <c r="J31" s="40"/>
    </row>
    <row r="32" customHeight="true" spans="1:10">
      <c r="A32" s="29">
        <v>28</v>
      </c>
      <c r="B32" s="30" t="s">
        <v>1001</v>
      </c>
      <c r="C32" s="31"/>
      <c r="D32" s="32"/>
      <c r="E32" s="29" t="s">
        <v>1005</v>
      </c>
      <c r="F32" s="35">
        <v>1256.3</v>
      </c>
      <c r="G32" s="29" t="s">
        <v>1006</v>
      </c>
      <c r="H32" s="35">
        <v>1256.3</v>
      </c>
      <c r="I32" s="50">
        <f t="shared" si="1"/>
        <v>1256.3</v>
      </c>
      <c r="J32" s="40"/>
    </row>
    <row r="35" customHeight="true" spans="8:9">
      <c r="H35" s="40"/>
      <c r="I35" s="40">
        <f>SUM(I22:I32)</f>
        <v>73390.41</v>
      </c>
    </row>
    <row r="36" customHeight="true" spans="8:9">
      <c r="H36" s="40"/>
      <c r="I36" s="40">
        <f>I35+I5</f>
        <v>79906.41</v>
      </c>
    </row>
  </sheetData>
  <autoFilter ref="A3:N32">
    <extLst/>
  </autoFilter>
  <mergeCells count="17">
    <mergeCell ref="A1:I1"/>
    <mergeCell ref="C2:D2"/>
    <mergeCell ref="E2:F2"/>
    <mergeCell ref="G2:H2"/>
    <mergeCell ref="A4:B4"/>
    <mergeCell ref="A2:A3"/>
    <mergeCell ref="B2:B3"/>
    <mergeCell ref="G5:G9"/>
    <mergeCell ref="G10:G12"/>
    <mergeCell ref="G28:G29"/>
    <mergeCell ref="H5:H9"/>
    <mergeCell ref="H10:H12"/>
    <mergeCell ref="H28:H29"/>
    <mergeCell ref="I2:I3"/>
    <mergeCell ref="I5:I9"/>
    <mergeCell ref="I10:I12"/>
    <mergeCell ref="I28:I29"/>
  </mergeCells>
  <conditionalFormatting sqref="L5:L25">
    <cfRule type="duplicateValues" dxfId="0" priority="1"/>
  </conditionalFormatting>
  <printOptions horizontalCentered="true"/>
  <pageMargins left="0.196850393700787" right="0.196850393700787" top="0.590551181102362" bottom="0.59055118110236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T74"/>
  <sheetViews>
    <sheetView zoomScale="110" zoomScaleNormal="110" workbookViewId="0">
      <pane xSplit="5" ySplit="1" topLeftCell="DE26" activePane="bottomRight" state="frozen"/>
      <selection/>
      <selection pane="topRight"/>
      <selection pane="bottomLeft"/>
      <selection pane="bottomRight" activeCell="F13" sqref="F13"/>
    </sheetView>
  </sheetViews>
  <sheetFormatPr defaultColWidth="9" defaultRowHeight="18" customHeight="true"/>
  <cols>
    <col min="1" max="1" width="6.66666666666667" style="5" customWidth="true"/>
    <col min="2" max="2" width="28.4416666666667" style="6" customWidth="true"/>
    <col min="3" max="3" width="12" style="5" customWidth="true"/>
    <col min="4" max="4" width="13.775" style="5" customWidth="true"/>
    <col min="5" max="5" width="12.2166666666667" style="7" customWidth="true"/>
    <col min="6" max="15" width="10.775" style="8" customWidth="true"/>
    <col min="16" max="26" width="10.775" style="9" customWidth="true"/>
    <col min="27" max="27" width="12.6666666666667" style="9" customWidth="true"/>
    <col min="28" max="32" width="10.775" style="9" customWidth="true"/>
    <col min="33" max="41" width="10.775" style="8" customWidth="true"/>
    <col min="42" max="42" width="12.6666666666667" style="8" customWidth="true"/>
    <col min="43" max="44" width="10.775" style="8" customWidth="true"/>
    <col min="45" max="135" width="11.775" style="8" customWidth="true"/>
    <col min="136" max="293" width="10.775" style="8" customWidth="true"/>
    <col min="294" max="16384" width="8.88333333333333" style="8"/>
  </cols>
  <sheetData>
    <row r="1" s="5" customFormat="true" customHeight="true" spans="1:140">
      <c r="A1" s="5" t="s">
        <v>346</v>
      </c>
      <c r="B1" s="5" t="s">
        <v>1007</v>
      </c>
      <c r="C1" s="5" t="s">
        <v>1008</v>
      </c>
      <c r="D1" s="5" t="s">
        <v>1009</v>
      </c>
      <c r="E1" s="11" t="s">
        <v>1010</v>
      </c>
      <c r="F1" s="5">
        <v>1</v>
      </c>
      <c r="G1" s="5">
        <v>2</v>
      </c>
      <c r="H1" s="5">
        <v>3</v>
      </c>
      <c r="I1" s="5">
        <v>4</v>
      </c>
      <c r="J1" s="5">
        <v>5</v>
      </c>
      <c r="K1" s="5">
        <v>6</v>
      </c>
      <c r="L1" s="5">
        <v>7</v>
      </c>
      <c r="M1" s="5">
        <v>8</v>
      </c>
      <c r="N1" s="5">
        <v>9</v>
      </c>
      <c r="O1" s="5">
        <v>10</v>
      </c>
      <c r="P1" s="5">
        <v>11</v>
      </c>
      <c r="Q1" s="5">
        <v>12</v>
      </c>
      <c r="R1" s="5">
        <v>13</v>
      </c>
      <c r="S1" s="5">
        <v>14</v>
      </c>
      <c r="T1" s="5">
        <v>15</v>
      </c>
      <c r="U1" s="5">
        <v>16</v>
      </c>
      <c r="V1" s="5">
        <v>17</v>
      </c>
      <c r="W1" s="5">
        <v>18</v>
      </c>
      <c r="X1" s="5">
        <v>19</v>
      </c>
      <c r="Y1" s="5">
        <v>20</v>
      </c>
      <c r="Z1" s="5">
        <v>21</v>
      </c>
      <c r="AA1" s="5">
        <v>22</v>
      </c>
      <c r="AB1" s="5">
        <v>23</v>
      </c>
      <c r="AC1" s="5">
        <v>24</v>
      </c>
      <c r="AD1" s="5">
        <v>25</v>
      </c>
      <c r="AE1" s="5">
        <v>26</v>
      </c>
      <c r="AF1" s="5">
        <v>27</v>
      </c>
      <c r="AG1" s="5">
        <v>28</v>
      </c>
      <c r="AH1" s="5">
        <v>29</v>
      </c>
      <c r="AI1" s="5">
        <v>30</v>
      </c>
      <c r="AJ1" s="5">
        <v>31</v>
      </c>
      <c r="AK1" s="5">
        <v>32</v>
      </c>
      <c r="AL1" s="5">
        <v>33</v>
      </c>
      <c r="AM1" s="5">
        <v>34</v>
      </c>
      <c r="AN1" s="5">
        <v>35</v>
      </c>
      <c r="AO1" s="5">
        <v>36</v>
      </c>
      <c r="AP1" s="5">
        <v>37</v>
      </c>
      <c r="AQ1" s="5">
        <v>38</v>
      </c>
      <c r="AR1" s="5">
        <v>39</v>
      </c>
      <c r="EJ1" s="10"/>
    </row>
    <row r="2" s="5" customFormat="true" customHeight="true" spans="1:140">
      <c r="A2" s="5">
        <v>1</v>
      </c>
      <c r="B2" s="6" t="str">
        <f>'明细表（有误0'!C4</f>
        <v>天津易宏国际贸易有限公司</v>
      </c>
      <c r="D2" s="9"/>
      <c r="E2" s="12">
        <f t="shared" ref="E2:E26" si="0">SUM(F2:KS2)</f>
        <v>1222697.32737047</v>
      </c>
      <c r="F2" s="9">
        <f>52923*4.8528/6.4601</f>
        <v>39755.5354251482</v>
      </c>
      <c r="G2" s="9">
        <v>150219.12</v>
      </c>
      <c r="H2" s="9">
        <v>17197.73</v>
      </c>
      <c r="I2" s="9">
        <f>85576*4.8528/6.4601</f>
        <v>64284.3319453259</v>
      </c>
      <c r="J2" s="9">
        <v>68984</v>
      </c>
      <c r="K2" s="9">
        <v>14880.41</v>
      </c>
      <c r="L2" s="9">
        <v>930.86</v>
      </c>
      <c r="M2" s="9">
        <v>10765.44</v>
      </c>
      <c r="N2" s="9">
        <v>48602.56</v>
      </c>
      <c r="O2" s="9">
        <v>44526.23</v>
      </c>
      <c r="P2" s="9">
        <v>70522.78</v>
      </c>
      <c r="Q2" s="9">
        <v>38284.06</v>
      </c>
      <c r="R2" s="9">
        <v>44569.38</v>
      </c>
      <c r="S2" s="9">
        <v>23370.16</v>
      </c>
      <c r="T2" s="9">
        <v>22198.11</v>
      </c>
      <c r="U2" s="9">
        <v>20239.43</v>
      </c>
      <c r="V2" s="9">
        <v>19352.25</v>
      </c>
      <c r="W2" s="9">
        <v>14919.3</v>
      </c>
      <c r="X2" s="9">
        <v>3891.6</v>
      </c>
      <c r="Y2" s="9">
        <v>40474.44</v>
      </c>
      <c r="Z2" s="9">
        <v>13544.18</v>
      </c>
      <c r="AA2" s="9">
        <v>12880.28</v>
      </c>
      <c r="AB2" s="9">
        <v>6957.04</v>
      </c>
      <c r="AC2" s="9">
        <v>8221.95</v>
      </c>
      <c r="AD2" s="9">
        <v>172999.56</v>
      </c>
      <c r="AE2" s="9">
        <v>104391.68</v>
      </c>
      <c r="AF2" s="9">
        <v>24348.5</v>
      </c>
      <c r="AG2" s="9">
        <v>8271.18</v>
      </c>
      <c r="AH2" s="9">
        <v>50838.51</v>
      </c>
      <c r="AI2" s="9">
        <v>25281.72</v>
      </c>
      <c r="AJ2" s="9">
        <v>36995</v>
      </c>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EJ2" s="10"/>
    </row>
    <row r="3" s="5" customFormat="true" customHeight="true" spans="1:136">
      <c r="A3" s="5">
        <v>2</v>
      </c>
      <c r="B3" s="6" t="str">
        <f>'明细表（有误0'!C5</f>
        <v>天津展志钢铁有限公司</v>
      </c>
      <c r="D3" s="9"/>
      <c r="E3" s="12">
        <f>SUM(F3:KR3)</f>
        <v>3498073.42</v>
      </c>
      <c r="F3" s="9">
        <v>260370.74</v>
      </c>
      <c r="G3" s="9">
        <v>56512.18</v>
      </c>
      <c r="H3" s="9">
        <v>268989.68</v>
      </c>
      <c r="I3" s="9">
        <v>169995.25</v>
      </c>
      <c r="J3" s="9">
        <v>602774.17</v>
      </c>
      <c r="K3" s="9">
        <v>118528.13</v>
      </c>
      <c r="L3" s="9">
        <v>56342.03</v>
      </c>
      <c r="M3" s="9">
        <v>257743.91</v>
      </c>
      <c r="N3" s="9">
        <v>834888.2</v>
      </c>
      <c r="O3" s="9">
        <v>478276.81</v>
      </c>
      <c r="P3" s="9">
        <v>180459.54</v>
      </c>
      <c r="Q3" s="9">
        <v>213192.78</v>
      </c>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EF3" s="10"/>
    </row>
    <row r="4" s="5" customFormat="true" customHeight="true" spans="1:140">
      <c r="A4" s="5">
        <v>3</v>
      </c>
      <c r="B4" s="6" t="str">
        <f>'明细表（有误0'!C6</f>
        <v>祥锦（天津）车业有限公司</v>
      </c>
      <c r="D4" s="9"/>
      <c r="E4" s="12">
        <f t="shared" si="0"/>
        <v>6480287.89</v>
      </c>
      <c r="F4" s="9">
        <v>129820</v>
      </c>
      <c r="G4" s="9">
        <v>14138.08</v>
      </c>
      <c r="H4" s="9">
        <v>138331.2</v>
      </c>
      <c r="I4" s="9">
        <v>3623.4</v>
      </c>
      <c r="J4" s="9">
        <v>12614</v>
      </c>
      <c r="K4" s="9">
        <v>6160.5</v>
      </c>
      <c r="L4" s="9">
        <v>102315</v>
      </c>
      <c r="M4" s="9">
        <v>15583.9</v>
      </c>
      <c r="N4" s="9">
        <v>3623.4</v>
      </c>
      <c r="O4" s="9">
        <v>33524.4</v>
      </c>
      <c r="P4" s="9">
        <v>84026.25</v>
      </c>
      <c r="Q4" s="9">
        <v>4620</v>
      </c>
      <c r="R4" s="9">
        <v>22290</v>
      </c>
      <c r="S4" s="9">
        <v>66980</v>
      </c>
      <c r="T4" s="9">
        <v>54400</v>
      </c>
      <c r="U4" s="9">
        <v>30580.26</v>
      </c>
      <c r="V4" s="9">
        <v>8670</v>
      </c>
      <c r="W4" s="9">
        <v>38250</v>
      </c>
      <c r="X4" s="9">
        <v>60964</v>
      </c>
      <c r="Y4" s="9">
        <v>142800</v>
      </c>
      <c r="Z4" s="9">
        <v>142800</v>
      </c>
      <c r="AA4" s="9">
        <v>142800</v>
      </c>
      <c r="AB4" s="9">
        <v>71400</v>
      </c>
      <c r="AC4" s="9">
        <v>144170</v>
      </c>
      <c r="AD4" s="9">
        <v>131070</v>
      </c>
      <c r="AE4" s="9">
        <v>57280</v>
      </c>
      <c r="AF4" s="9">
        <v>59325</v>
      </c>
      <c r="AG4" s="9">
        <v>81275</v>
      </c>
      <c r="AH4" s="9">
        <v>357600</v>
      </c>
      <c r="AI4" s="9">
        <v>537060</v>
      </c>
      <c r="AJ4" s="9">
        <v>716080</v>
      </c>
      <c r="AK4" s="9">
        <v>40184</v>
      </c>
      <c r="AL4" s="9">
        <v>38887.5</v>
      </c>
      <c r="AM4" s="9">
        <v>100460</v>
      </c>
      <c r="AN4" s="9">
        <v>158910</v>
      </c>
      <c r="AO4" s="9">
        <v>161220</v>
      </c>
      <c r="AP4" s="9">
        <v>1173492</v>
      </c>
      <c r="AQ4" s="9">
        <v>43251</v>
      </c>
      <c r="AR4" s="9">
        <v>130968</v>
      </c>
      <c r="AS4" s="9">
        <v>213374</v>
      </c>
      <c r="AT4" s="9">
        <v>32529</v>
      </c>
      <c r="AU4" s="9">
        <v>120655.5</v>
      </c>
      <c r="AV4" s="9">
        <v>67593</v>
      </c>
      <c r="AW4" s="9">
        <v>39072</v>
      </c>
      <c r="AX4" s="9">
        <v>38940</v>
      </c>
      <c r="AY4" s="9">
        <v>32208</v>
      </c>
      <c r="AZ4" s="9">
        <v>9470.36</v>
      </c>
      <c r="BA4" s="9">
        <v>12720</v>
      </c>
      <c r="BB4" s="9">
        <v>192040</v>
      </c>
      <c r="BC4" s="9">
        <v>84951</v>
      </c>
      <c r="BD4" s="9">
        <v>108257.92</v>
      </c>
      <c r="BE4" s="9">
        <v>94760.4</v>
      </c>
      <c r="BF4" s="9">
        <v>106562.12</v>
      </c>
      <c r="BG4" s="9">
        <v>39469.7</v>
      </c>
      <c r="BH4" s="9">
        <v>26138</v>
      </c>
      <c r="BI4" s="9"/>
      <c r="BJ4" s="9"/>
      <c r="BK4" s="9"/>
      <c r="BL4" s="9"/>
      <c r="BM4" s="9"/>
      <c r="BN4" s="9"/>
      <c r="BO4" s="9"/>
      <c r="EJ4" s="10"/>
    </row>
    <row r="5" s="5" customFormat="true" customHeight="true" spans="1:140">
      <c r="A5" s="5">
        <v>4</v>
      </c>
      <c r="B5" s="6" t="str">
        <f>'明细表（有误0'!C7</f>
        <v>天津惠好国际贸易有限公司</v>
      </c>
      <c r="C5" s="9">
        <v>42940.92</v>
      </c>
      <c r="D5" s="9">
        <f>29820.44+24478.04</f>
        <v>54298.48</v>
      </c>
      <c r="E5" s="12">
        <f t="shared" si="0"/>
        <v>997045.28</v>
      </c>
      <c r="F5" s="9">
        <v>33651.8</v>
      </c>
      <c r="G5" s="9">
        <v>7425.16</v>
      </c>
      <c r="H5" s="9">
        <v>20927.47</v>
      </c>
      <c r="I5" s="9">
        <v>27391.98</v>
      </c>
      <c r="J5" s="9">
        <v>18097.25</v>
      </c>
      <c r="K5" s="9">
        <v>18844.73</v>
      </c>
      <c r="L5" s="9">
        <v>1512.6</v>
      </c>
      <c r="M5" s="9">
        <v>1481.22</v>
      </c>
      <c r="N5" s="9">
        <v>6136.96</v>
      </c>
      <c r="O5" s="9">
        <v>28616.96</v>
      </c>
      <c r="P5" s="9">
        <v>28655.99</v>
      </c>
      <c r="Q5" s="9">
        <v>17416.04</v>
      </c>
      <c r="R5" s="9">
        <v>28857.98</v>
      </c>
      <c r="S5" s="9">
        <v>20913.28</v>
      </c>
      <c r="T5" s="9">
        <v>21056.28</v>
      </c>
      <c r="U5" s="9">
        <v>34460.9</v>
      </c>
      <c r="V5" s="9">
        <v>24735.21</v>
      </c>
      <c r="W5" s="9">
        <v>24735.21</v>
      </c>
      <c r="X5" s="9">
        <v>42940.92</v>
      </c>
      <c r="Y5" s="9">
        <v>32204</v>
      </c>
      <c r="Z5" s="9">
        <v>14995.05</v>
      </c>
      <c r="AA5" s="9">
        <v>26416.97</v>
      </c>
      <c r="AB5" s="9">
        <v>28656.23</v>
      </c>
      <c r="AC5" s="9">
        <v>8490.48</v>
      </c>
      <c r="AD5" s="9">
        <v>7038.61</v>
      </c>
      <c r="AE5" s="9">
        <v>20061.36</v>
      </c>
      <c r="AF5" s="9">
        <v>47692.8</v>
      </c>
      <c r="AG5" s="9">
        <v>10690.49</v>
      </c>
      <c r="AH5" s="9">
        <v>7209.42</v>
      </c>
      <c r="AI5" s="9">
        <v>37776.56</v>
      </c>
      <c r="AJ5" s="9">
        <v>36806.4</v>
      </c>
      <c r="AK5" s="9">
        <v>35489.25</v>
      </c>
      <c r="AL5" s="9">
        <v>9570.73</v>
      </c>
      <c r="AM5" s="9">
        <v>6017.62</v>
      </c>
      <c r="AN5" s="9">
        <v>3574.6</v>
      </c>
      <c r="AO5" s="9">
        <v>16210.37</v>
      </c>
      <c r="AP5" s="9">
        <v>1764</v>
      </c>
      <c r="AQ5" s="9">
        <v>5559.84</v>
      </c>
      <c r="AR5" s="9">
        <v>2813.48</v>
      </c>
      <c r="AS5" s="9">
        <v>1871.13</v>
      </c>
      <c r="AT5" s="9">
        <v>4536.1</v>
      </c>
      <c r="AU5" s="9">
        <v>3780.58</v>
      </c>
      <c r="AV5" s="9">
        <v>32517.6</v>
      </c>
      <c r="AW5" s="9">
        <v>23190.18</v>
      </c>
      <c r="AX5" s="9">
        <v>22139.05</v>
      </c>
      <c r="AY5" s="9">
        <v>7045.63</v>
      </c>
      <c r="AZ5" s="9">
        <v>8834.48</v>
      </c>
      <c r="BA5" s="9">
        <v>2450.54</v>
      </c>
      <c r="BB5" s="9">
        <v>3621.94</v>
      </c>
      <c r="BC5" s="9">
        <v>27114.15</v>
      </c>
      <c r="BD5" s="9">
        <v>32644.28</v>
      </c>
      <c r="BE5" s="9">
        <v>3660.21</v>
      </c>
      <c r="BF5" s="9">
        <v>4768.41</v>
      </c>
      <c r="BG5" s="9">
        <v>24735.21</v>
      </c>
      <c r="BH5" s="9">
        <v>27239.59</v>
      </c>
      <c r="BI5" s="9"/>
      <c r="BJ5" s="9"/>
      <c r="BK5" s="9"/>
      <c r="BL5" s="9"/>
      <c r="BM5" s="9"/>
      <c r="BN5" s="9"/>
      <c r="BO5" s="9"/>
      <c r="EJ5" s="10"/>
    </row>
    <row r="6" s="5" customFormat="true" customHeight="true" spans="1:190">
      <c r="A6" s="5">
        <v>5</v>
      </c>
      <c r="B6" s="6" t="str">
        <f>'明细表（有误0'!C8</f>
        <v>易路达车业（天津）股份有限公司</v>
      </c>
      <c r="E6" s="12">
        <f t="shared" si="0"/>
        <v>1503762.93</v>
      </c>
      <c r="F6" s="9">
        <v>24027.5</v>
      </c>
      <c r="G6" s="9">
        <v>13526.6</v>
      </c>
      <c r="H6" s="9">
        <v>900</v>
      </c>
      <c r="I6" s="9">
        <v>9786</v>
      </c>
      <c r="J6" s="9">
        <v>22410</v>
      </c>
      <c r="K6" s="9">
        <v>48618</v>
      </c>
      <c r="L6" s="9">
        <v>4482</v>
      </c>
      <c r="M6" s="9">
        <v>4618.5</v>
      </c>
      <c r="N6" s="9">
        <v>4663.5</v>
      </c>
      <c r="O6" s="9">
        <v>4858</v>
      </c>
      <c r="P6" s="9">
        <v>35</v>
      </c>
      <c r="Q6" s="9">
        <v>10694.02</v>
      </c>
      <c r="R6" s="9">
        <v>25804.48</v>
      </c>
      <c r="S6" s="9">
        <v>5650</v>
      </c>
      <c r="T6" s="9">
        <v>5850</v>
      </c>
      <c r="U6" s="9">
        <v>4625</v>
      </c>
      <c r="V6" s="9">
        <v>2775</v>
      </c>
      <c r="W6" s="9">
        <v>11590</v>
      </c>
      <c r="X6" s="9">
        <v>155.73</v>
      </c>
      <c r="Y6" s="9">
        <v>339.54</v>
      </c>
      <c r="Z6" s="9">
        <v>2090</v>
      </c>
      <c r="AA6" s="9">
        <v>1053</v>
      </c>
      <c r="AB6" s="9">
        <v>173.2</v>
      </c>
      <c r="AC6" s="9">
        <v>60.6</v>
      </c>
      <c r="AD6" s="9">
        <v>12.2</v>
      </c>
      <c r="AE6" s="9">
        <v>20.7</v>
      </c>
      <c r="AF6" s="9">
        <v>33.9</v>
      </c>
      <c r="AG6" s="9">
        <v>32.4</v>
      </c>
      <c r="AH6" s="9">
        <v>207.8</v>
      </c>
      <c r="AI6" s="9">
        <v>69.2</v>
      </c>
      <c r="AJ6" s="9">
        <v>3759.63</v>
      </c>
      <c r="AK6" s="9">
        <v>26400</v>
      </c>
      <c r="AL6" s="9">
        <v>45798.75</v>
      </c>
      <c r="AM6" s="9">
        <v>5060</v>
      </c>
      <c r="AN6" s="9">
        <v>6160</v>
      </c>
      <c r="AO6" s="9">
        <v>31440</v>
      </c>
      <c r="AP6" s="9">
        <v>6544.2</v>
      </c>
      <c r="AQ6" s="9">
        <v>3411.8</v>
      </c>
      <c r="AR6" s="9">
        <v>9754.34</v>
      </c>
      <c r="AS6" s="9">
        <v>11237.79</v>
      </c>
      <c r="AT6" s="9">
        <v>23100</v>
      </c>
      <c r="AU6" s="9">
        <v>700</v>
      </c>
      <c r="AV6" s="9">
        <v>38218.5</v>
      </c>
      <c r="AW6" s="9">
        <v>8800</v>
      </c>
      <c r="AX6" s="9">
        <v>3420</v>
      </c>
      <c r="AY6" s="9">
        <v>2850</v>
      </c>
      <c r="AZ6" s="9">
        <v>4074</v>
      </c>
      <c r="BA6" s="9">
        <v>2408</v>
      </c>
      <c r="BB6" s="9">
        <v>22140</v>
      </c>
      <c r="BC6" s="9">
        <v>2100</v>
      </c>
      <c r="BD6" s="9">
        <v>750</v>
      </c>
      <c r="BE6" s="9">
        <v>1300</v>
      </c>
      <c r="BF6" s="9">
        <v>20400</v>
      </c>
      <c r="BG6" s="9">
        <v>2960</v>
      </c>
      <c r="BH6" s="9">
        <v>2553.46</v>
      </c>
      <c r="BI6" s="9">
        <v>548.08</v>
      </c>
      <c r="BJ6" s="9">
        <v>363.06</v>
      </c>
      <c r="BK6" s="9">
        <v>2260.4</v>
      </c>
      <c r="BL6" s="9">
        <v>14770.5</v>
      </c>
      <c r="BM6" s="9">
        <v>3096</v>
      </c>
      <c r="BN6" s="9">
        <v>2704.5</v>
      </c>
      <c r="BO6" s="9">
        <v>730</v>
      </c>
      <c r="BP6" s="9">
        <v>8347.5</v>
      </c>
      <c r="BQ6" s="9">
        <v>9352</v>
      </c>
      <c r="BR6" s="9">
        <v>7074.5</v>
      </c>
      <c r="BS6" s="9">
        <v>3420</v>
      </c>
      <c r="BT6" s="9">
        <v>2850</v>
      </c>
      <c r="BU6" s="9">
        <v>3492</v>
      </c>
      <c r="BV6" s="9">
        <v>2709</v>
      </c>
      <c r="BW6" s="9">
        <v>20021</v>
      </c>
      <c r="BX6" s="9">
        <v>4560</v>
      </c>
      <c r="BY6" s="9">
        <v>2850</v>
      </c>
      <c r="BZ6" s="9">
        <v>4074</v>
      </c>
      <c r="CA6" s="9">
        <v>2408</v>
      </c>
      <c r="CB6" s="9">
        <v>9524.81</v>
      </c>
      <c r="CC6" s="9">
        <v>5685.6</v>
      </c>
      <c r="CD6" s="9">
        <v>5794.59</v>
      </c>
      <c r="CE6" s="9">
        <v>1307.6</v>
      </c>
      <c r="CF6" s="9">
        <v>3500</v>
      </c>
      <c r="CG6" s="9">
        <v>7100</v>
      </c>
      <c r="CH6" s="9">
        <v>13856</v>
      </c>
      <c r="CI6" s="9">
        <v>44</v>
      </c>
      <c r="CJ6" s="9">
        <v>28708.2</v>
      </c>
      <c r="CK6" s="9">
        <v>57000</v>
      </c>
      <c r="CL6" s="9">
        <v>3573</v>
      </c>
      <c r="CM6" s="9">
        <v>6207.5</v>
      </c>
      <c r="CN6" s="9">
        <v>12211.5</v>
      </c>
      <c r="CO6" s="9">
        <v>4026</v>
      </c>
      <c r="CP6" s="9">
        <v>12690</v>
      </c>
      <c r="CQ6" s="9">
        <v>4860</v>
      </c>
      <c r="CR6" s="9">
        <v>17899.9</v>
      </c>
      <c r="CS6" s="9">
        <v>5.16</v>
      </c>
      <c r="CT6" s="9">
        <v>9.28</v>
      </c>
      <c r="CU6" s="9">
        <v>30.96</v>
      </c>
      <c r="CV6" s="9">
        <v>14.76</v>
      </c>
      <c r="CW6" s="9">
        <v>2.88</v>
      </c>
      <c r="CX6" s="9">
        <v>4.44</v>
      </c>
      <c r="CY6" s="9">
        <v>16.52</v>
      </c>
      <c r="CZ6" s="9">
        <v>28.92</v>
      </c>
      <c r="DA6" s="9">
        <v>1.68</v>
      </c>
      <c r="DB6" s="9">
        <v>4.84</v>
      </c>
      <c r="DC6" s="9">
        <v>14.96</v>
      </c>
      <c r="DD6" s="9">
        <v>59.36</v>
      </c>
      <c r="DE6" s="9">
        <v>51.4</v>
      </c>
      <c r="DF6" s="9">
        <v>22.32</v>
      </c>
      <c r="DG6" s="9">
        <v>690</v>
      </c>
      <c r="DH6" s="9">
        <v>64145</v>
      </c>
      <c r="DI6" s="9">
        <v>6633.25</v>
      </c>
      <c r="DJ6" s="9">
        <v>800</v>
      </c>
      <c r="DK6" s="9">
        <v>18848</v>
      </c>
      <c r="DL6" s="9">
        <v>7710</v>
      </c>
      <c r="DM6" s="9">
        <v>9400</v>
      </c>
      <c r="DN6" s="9">
        <v>7100</v>
      </c>
      <c r="DO6" s="9">
        <v>1509.15</v>
      </c>
      <c r="DP6" s="9">
        <v>200</v>
      </c>
      <c r="DQ6" s="9">
        <v>53028</v>
      </c>
      <c r="DR6" s="9">
        <v>23800</v>
      </c>
      <c r="DS6" s="9">
        <v>23920</v>
      </c>
      <c r="DT6" s="9">
        <v>1163</v>
      </c>
      <c r="DU6" s="9">
        <v>10374</v>
      </c>
      <c r="DV6" s="9">
        <v>18515</v>
      </c>
      <c r="DW6" s="9">
        <v>2569.56</v>
      </c>
      <c r="DX6" s="9">
        <v>734.16</v>
      </c>
      <c r="DY6" s="9">
        <v>2814.28</v>
      </c>
      <c r="DZ6" s="9">
        <v>7402.77</v>
      </c>
      <c r="EA6" s="9">
        <v>3090.24</v>
      </c>
      <c r="EB6" s="9">
        <v>5836.8</v>
      </c>
      <c r="EC6" s="9">
        <v>2347.96</v>
      </c>
      <c r="ED6" s="9">
        <v>4408</v>
      </c>
      <c r="EE6" s="9">
        <v>1480</v>
      </c>
      <c r="EF6" s="9">
        <v>5408.76</v>
      </c>
      <c r="EG6" s="9">
        <v>1038.7</v>
      </c>
      <c r="EH6" s="9">
        <v>1278.4</v>
      </c>
      <c r="EI6" s="9">
        <v>299.14</v>
      </c>
      <c r="EJ6" s="9">
        <v>34952</v>
      </c>
      <c r="EK6" s="9">
        <v>8610</v>
      </c>
      <c r="EL6" s="9">
        <v>9085</v>
      </c>
      <c r="EM6" s="9">
        <v>9150</v>
      </c>
      <c r="EN6" s="9">
        <v>14663.5</v>
      </c>
      <c r="EO6" s="9">
        <v>5507.5</v>
      </c>
      <c r="EP6" s="9">
        <v>2900</v>
      </c>
      <c r="EQ6" s="9">
        <v>1239.73</v>
      </c>
      <c r="ER6" s="9">
        <v>3000</v>
      </c>
      <c r="ES6" s="9">
        <v>37740.5</v>
      </c>
      <c r="ET6" s="9">
        <v>23976</v>
      </c>
      <c r="EU6" s="9">
        <v>13770</v>
      </c>
      <c r="EV6" s="9">
        <v>7620</v>
      </c>
      <c r="EW6" s="9">
        <v>1600</v>
      </c>
      <c r="EX6" s="9">
        <v>2500</v>
      </c>
      <c r="EY6" s="9">
        <v>5109</v>
      </c>
      <c r="EZ6" s="9">
        <v>6500</v>
      </c>
      <c r="FA6" s="9">
        <v>2388</v>
      </c>
      <c r="FB6" s="9">
        <v>1100</v>
      </c>
      <c r="FC6" s="9">
        <v>5496.75</v>
      </c>
      <c r="FD6" s="9">
        <v>1130</v>
      </c>
      <c r="FE6" s="9">
        <v>1320</v>
      </c>
      <c r="FF6" s="9">
        <v>1650</v>
      </c>
      <c r="FG6" s="9">
        <v>5650</v>
      </c>
      <c r="FH6" s="9">
        <v>7400</v>
      </c>
      <c r="FI6" s="9">
        <v>5850</v>
      </c>
      <c r="FJ6" s="9">
        <v>13740</v>
      </c>
      <c r="FK6" s="9">
        <v>23115</v>
      </c>
      <c r="FL6" s="9">
        <v>61760</v>
      </c>
      <c r="FM6" s="9">
        <v>639.8</v>
      </c>
      <c r="FN6" s="9">
        <v>5209.6</v>
      </c>
      <c r="FO6" s="9">
        <v>1952</v>
      </c>
      <c r="FP6" s="9">
        <v>6512</v>
      </c>
      <c r="FQ6" s="9">
        <v>5860.8</v>
      </c>
      <c r="FR6" s="9">
        <v>976</v>
      </c>
      <c r="FS6" s="9">
        <v>19767</v>
      </c>
      <c r="FT6" s="9">
        <v>11129</v>
      </c>
      <c r="FU6" s="9">
        <v>123</v>
      </c>
      <c r="FV6" s="9">
        <v>3265</v>
      </c>
      <c r="FW6" s="9">
        <v>9324.81</v>
      </c>
      <c r="FX6" s="9">
        <v>19860.48</v>
      </c>
      <c r="FY6" s="9">
        <v>8679.15</v>
      </c>
      <c r="FZ6" s="9">
        <v>21008.08</v>
      </c>
      <c r="GA6" s="9"/>
      <c r="GB6" s="9"/>
      <c r="GC6" s="9"/>
      <c r="GD6" s="9"/>
      <c r="GE6" s="9"/>
      <c r="GF6" s="9"/>
      <c r="GG6" s="9"/>
      <c r="GH6" s="9"/>
    </row>
    <row r="7" s="5" customFormat="true" customHeight="true" spans="1:209">
      <c r="A7" s="5">
        <v>6</v>
      </c>
      <c r="B7" s="6" t="str">
        <f>'明细表（有误0'!C9</f>
        <v>天津朝泽维美进出口贸易有限公司</v>
      </c>
      <c r="E7" s="12">
        <f t="shared" si="0"/>
        <v>2050858.0766677</v>
      </c>
      <c r="F7" s="9">
        <v>17081.04</v>
      </c>
      <c r="G7" s="9">
        <v>114179</v>
      </c>
      <c r="H7" s="9">
        <v>33202.34</v>
      </c>
      <c r="I7" s="9">
        <v>27670</v>
      </c>
      <c r="J7" s="9">
        <v>23490</v>
      </c>
      <c r="K7" s="9">
        <v>28565</v>
      </c>
      <c r="L7" s="9">
        <v>15637</v>
      </c>
      <c r="M7" s="9">
        <v>118277.28</v>
      </c>
      <c r="N7" s="9">
        <v>85851.6</v>
      </c>
      <c r="O7" s="9">
        <v>8796</v>
      </c>
      <c r="P7" s="9">
        <v>17148</v>
      </c>
      <c r="Q7" s="9">
        <v>45387.71</v>
      </c>
      <c r="R7" s="9">
        <v>24370</v>
      </c>
      <c r="S7" s="9">
        <v>95505.79</v>
      </c>
      <c r="T7" s="9">
        <v>78076.32</v>
      </c>
      <c r="U7" s="9">
        <v>109721</v>
      </c>
      <c r="V7" s="9">
        <v>76914.96</v>
      </c>
      <c r="W7" s="9">
        <v>28167.84</v>
      </c>
      <c r="X7" s="9">
        <v>29003.3</v>
      </c>
      <c r="Y7" s="9">
        <v>54960.48</v>
      </c>
      <c r="Z7" s="9">
        <v>69190</v>
      </c>
      <c r="AA7" s="9">
        <v>55079.85</v>
      </c>
      <c r="AB7" s="9">
        <v>72959.16</v>
      </c>
      <c r="AC7" s="9">
        <v>9094.8</v>
      </c>
      <c r="AD7" s="9">
        <v>22836</v>
      </c>
      <c r="AE7" s="9">
        <v>67180.78</v>
      </c>
      <c r="AF7" s="9">
        <v>50980.68</v>
      </c>
      <c r="AG7" s="9">
        <v>32981.04</v>
      </c>
      <c r="AH7" s="9">
        <v>34835.43</v>
      </c>
      <c r="AI7" s="9">
        <v>65401.14</v>
      </c>
      <c r="AJ7" s="9">
        <v>24132.4</v>
      </c>
      <c r="AK7" s="9">
        <v>48054.48</v>
      </c>
      <c r="AL7" s="9">
        <v>36243.52</v>
      </c>
      <c r="AM7" s="9">
        <v>25396</v>
      </c>
      <c r="AN7" s="9">
        <v>20740</v>
      </c>
      <c r="AO7" s="9">
        <v>25842.84</v>
      </c>
      <c r="AP7" s="9">
        <v>70849.95</v>
      </c>
      <c r="AQ7" s="9">
        <v>62025.6</v>
      </c>
      <c r="AR7" s="9">
        <v>2940</v>
      </c>
      <c r="AS7" s="9">
        <v>2940</v>
      </c>
      <c r="AT7" s="9">
        <v>1512</v>
      </c>
      <c r="AU7" s="9">
        <v>1512</v>
      </c>
      <c r="AV7" s="9">
        <v>41902</v>
      </c>
      <c r="AW7" s="9">
        <v>67866</v>
      </c>
      <c r="AX7" s="9">
        <v>17894</v>
      </c>
      <c r="AY7" s="9">
        <f>24352.04*7.6862/6.4601</f>
        <v>28973.9554879955</v>
      </c>
      <c r="AZ7" s="9">
        <f>25000*7.6862/6.4601</f>
        <v>29744.8955898516</v>
      </c>
      <c r="BA7" s="9">
        <f>25000*7.6862/6.4601</f>
        <v>29744.8955898516</v>
      </c>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EH7" s="10"/>
      <c r="GD7" s="9"/>
      <c r="GE7" s="9"/>
      <c r="GF7" s="9"/>
      <c r="GG7" s="9"/>
      <c r="GH7" s="9"/>
      <c r="GI7" s="9"/>
      <c r="GJ7" s="9"/>
      <c r="GK7" s="9"/>
      <c r="GL7" s="9"/>
      <c r="GM7" s="9"/>
      <c r="GN7" s="9"/>
      <c r="GO7" s="9"/>
      <c r="GP7" s="9"/>
      <c r="GQ7" s="9"/>
      <c r="GR7" s="9"/>
      <c r="GS7" s="9"/>
      <c r="GT7" s="9"/>
      <c r="GU7" s="9"/>
      <c r="GV7" s="9"/>
      <c r="GW7" s="9"/>
      <c r="GX7" s="9"/>
      <c r="GY7" s="9"/>
      <c r="GZ7" s="9"/>
      <c r="HA7" s="9"/>
    </row>
    <row r="8" s="5" customFormat="true" customHeight="true" spans="1:191">
      <c r="A8" s="5">
        <v>7</v>
      </c>
      <c r="B8" s="6" t="str">
        <f>'明细表（有误0'!C10</f>
        <v>天津市万蕾钢管有限公司</v>
      </c>
      <c r="E8" s="12">
        <f t="shared" si="0"/>
        <v>1279878.02688859</v>
      </c>
      <c r="F8" s="9">
        <v>2348.11</v>
      </c>
      <c r="G8" s="9">
        <v>14944.41</v>
      </c>
      <c r="H8" s="9">
        <v>2610</v>
      </c>
      <c r="I8" s="9">
        <v>74</v>
      </c>
      <c r="J8" s="9">
        <v>43086.48</v>
      </c>
      <c r="K8" s="9">
        <v>88487.56</v>
      </c>
      <c r="L8" s="9">
        <v>11271.71</v>
      </c>
      <c r="M8" s="9">
        <v>25952.77</v>
      </c>
      <c r="N8" s="9">
        <v>1370.2</v>
      </c>
      <c r="O8" s="9">
        <v>5890.94</v>
      </c>
      <c r="P8" s="9">
        <v>29692.91</v>
      </c>
      <c r="Q8" s="9">
        <v>376.91</v>
      </c>
      <c r="R8" s="9">
        <v>1087.06</v>
      </c>
      <c r="S8" s="9">
        <v>1810.02</v>
      </c>
      <c r="T8" s="9">
        <v>21342.38</v>
      </c>
      <c r="U8" s="9">
        <v>55219.69</v>
      </c>
      <c r="V8" s="9">
        <v>79268.87</v>
      </c>
      <c r="W8" s="9">
        <v>65269.43</v>
      </c>
      <c r="X8" s="9">
        <v>59066.65</v>
      </c>
      <c r="Y8" s="9">
        <v>16113.11</v>
      </c>
      <c r="Z8" s="9">
        <v>46386.4</v>
      </c>
      <c r="AA8" s="9">
        <f>487097.98/6.4601</f>
        <v>75400.9968885931</v>
      </c>
      <c r="AB8" s="9">
        <v>2716.72</v>
      </c>
      <c r="AC8" s="9">
        <v>3429.58</v>
      </c>
      <c r="AD8" s="9">
        <v>71188.8</v>
      </c>
      <c r="AE8" s="9">
        <v>46219.07</v>
      </c>
      <c r="AF8" s="9">
        <v>5621.97</v>
      </c>
      <c r="AG8" s="9">
        <v>120587.37</v>
      </c>
      <c r="AH8" s="9">
        <v>3531.29</v>
      </c>
      <c r="AI8" s="9">
        <v>242.39</v>
      </c>
      <c r="AJ8" s="9">
        <v>9404.12</v>
      </c>
      <c r="AK8" s="9">
        <v>177354</v>
      </c>
      <c r="AL8" s="9">
        <v>132133.02</v>
      </c>
      <c r="AM8" s="9">
        <v>2185.88</v>
      </c>
      <c r="AN8" s="9">
        <v>38388.43</v>
      </c>
      <c r="AO8" s="9">
        <v>19804.78</v>
      </c>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DP8" s="10"/>
      <c r="FL8" s="9"/>
      <c r="FM8" s="9"/>
      <c r="FN8" s="9"/>
      <c r="FO8" s="9"/>
      <c r="FP8" s="9"/>
      <c r="FQ8" s="9"/>
      <c r="FR8" s="9"/>
      <c r="FS8" s="9"/>
      <c r="FT8" s="9"/>
      <c r="FU8" s="9"/>
      <c r="FV8" s="9"/>
      <c r="FW8" s="9"/>
      <c r="FX8" s="9"/>
      <c r="FY8" s="9"/>
      <c r="FZ8" s="9"/>
      <c r="GA8" s="9"/>
      <c r="GB8" s="9"/>
      <c r="GC8" s="9"/>
      <c r="GD8" s="9"/>
      <c r="GE8" s="9"/>
      <c r="GF8" s="9"/>
      <c r="GG8" s="9"/>
      <c r="GH8" s="9"/>
      <c r="GI8" s="9"/>
    </row>
    <row r="9" s="5" customFormat="true" customHeight="true" spans="1:210">
      <c r="A9" s="5">
        <v>8</v>
      </c>
      <c r="B9" s="6" t="str">
        <f>'明细表（有误0'!C11</f>
        <v>云建（天津）国际贸易有限公司</v>
      </c>
      <c r="E9" s="12">
        <f t="shared" si="0"/>
        <v>561994.56</v>
      </c>
      <c r="F9" s="9">
        <v>25200</v>
      </c>
      <c r="G9" s="9">
        <v>2492.5</v>
      </c>
      <c r="H9" s="9">
        <v>950</v>
      </c>
      <c r="I9" s="9">
        <v>3469.5</v>
      </c>
      <c r="J9" s="9">
        <v>4320</v>
      </c>
      <c r="K9" s="9">
        <v>1442.6</v>
      </c>
      <c r="L9" s="9">
        <v>1300</v>
      </c>
      <c r="M9" s="9">
        <v>6100</v>
      </c>
      <c r="N9" s="9">
        <v>3506</v>
      </c>
      <c r="O9" s="9">
        <v>4467.7</v>
      </c>
      <c r="P9" s="9">
        <v>2800</v>
      </c>
      <c r="Q9" s="9">
        <v>289.8</v>
      </c>
      <c r="R9" s="9">
        <v>1360</v>
      </c>
      <c r="S9" s="9">
        <v>4180</v>
      </c>
      <c r="T9" s="9">
        <v>2598</v>
      </c>
      <c r="U9" s="9">
        <v>2598</v>
      </c>
      <c r="V9" s="9">
        <v>2528.38</v>
      </c>
      <c r="W9" s="9">
        <v>1098</v>
      </c>
      <c r="X9" s="9">
        <v>1125</v>
      </c>
      <c r="Y9" s="9">
        <v>594</v>
      </c>
      <c r="Z9" s="9">
        <v>3850</v>
      </c>
      <c r="AA9" s="9">
        <v>4355</v>
      </c>
      <c r="AB9" s="9">
        <v>75</v>
      </c>
      <c r="AC9" s="9">
        <v>9099</v>
      </c>
      <c r="AD9" s="9">
        <v>6743.1</v>
      </c>
      <c r="AE9" s="9">
        <v>7760</v>
      </c>
      <c r="AF9" s="9">
        <v>30784</v>
      </c>
      <c r="AG9" s="9">
        <v>8398</v>
      </c>
      <c r="AH9" s="9">
        <v>3655.6</v>
      </c>
      <c r="AI9" s="9">
        <v>923.2</v>
      </c>
      <c r="AJ9" s="9">
        <v>850</v>
      </c>
      <c r="AK9" s="9">
        <v>180</v>
      </c>
      <c r="AL9" s="9">
        <v>198</v>
      </c>
      <c r="AM9" s="9">
        <v>2100</v>
      </c>
      <c r="AN9" s="9">
        <v>14577</v>
      </c>
      <c r="AO9" s="9">
        <v>1302</v>
      </c>
      <c r="AP9" s="9">
        <v>1824</v>
      </c>
      <c r="AQ9" s="9">
        <v>1452</v>
      </c>
      <c r="AR9" s="9">
        <v>741</v>
      </c>
      <c r="AS9" s="9">
        <v>1568</v>
      </c>
      <c r="AT9" s="9">
        <v>1028</v>
      </c>
      <c r="AU9" s="9">
        <v>205.5</v>
      </c>
      <c r="AV9" s="9">
        <v>2673.94</v>
      </c>
      <c r="AW9" s="9">
        <v>480</v>
      </c>
      <c r="AX9" s="9">
        <v>11971.2</v>
      </c>
      <c r="AY9" s="9">
        <v>4920</v>
      </c>
      <c r="AZ9" s="9">
        <v>180</v>
      </c>
      <c r="BA9" s="9">
        <v>2451</v>
      </c>
      <c r="BB9" s="9">
        <v>1950</v>
      </c>
      <c r="BC9" s="9">
        <v>14577</v>
      </c>
      <c r="BD9" s="9">
        <v>152</v>
      </c>
      <c r="BE9" s="9">
        <v>514.1</v>
      </c>
      <c r="BF9" s="9">
        <v>1650</v>
      </c>
      <c r="BG9" s="9">
        <v>819</v>
      </c>
      <c r="BH9" s="9">
        <v>2772</v>
      </c>
      <c r="BI9" s="9">
        <v>730</v>
      </c>
      <c r="BJ9" s="9">
        <v>636.38</v>
      </c>
      <c r="BK9" s="9">
        <v>1368</v>
      </c>
      <c r="BL9" s="9">
        <v>530</v>
      </c>
      <c r="BM9" s="9">
        <v>480</v>
      </c>
      <c r="BN9" s="9">
        <v>950</v>
      </c>
      <c r="BO9" s="9">
        <v>188.57</v>
      </c>
      <c r="BP9" s="9">
        <v>274.5</v>
      </c>
      <c r="BQ9" s="9">
        <v>959.25</v>
      </c>
      <c r="BR9" s="9">
        <v>1620</v>
      </c>
      <c r="BS9" s="9">
        <v>3582</v>
      </c>
      <c r="BT9" s="9">
        <v>16133.68</v>
      </c>
      <c r="BU9" s="9">
        <v>105.6</v>
      </c>
      <c r="BV9" s="9">
        <v>3867</v>
      </c>
      <c r="BW9" s="9">
        <v>288</v>
      </c>
      <c r="BX9" s="9">
        <v>320</v>
      </c>
      <c r="BY9" s="9">
        <v>1750</v>
      </c>
      <c r="BZ9" s="9">
        <v>14139</v>
      </c>
      <c r="CA9" s="9">
        <v>3013</v>
      </c>
      <c r="CB9" s="9">
        <v>4937.24</v>
      </c>
      <c r="CC9" s="9">
        <v>9398.02</v>
      </c>
      <c r="CD9" s="9">
        <v>2450.1</v>
      </c>
      <c r="CE9" s="9">
        <v>86</v>
      </c>
      <c r="CF9" s="9">
        <v>438.1</v>
      </c>
      <c r="CG9" s="9">
        <v>358</v>
      </c>
      <c r="CH9" s="9">
        <v>340.02</v>
      </c>
      <c r="CI9" s="9">
        <v>313</v>
      </c>
      <c r="CJ9" s="9">
        <v>2220</v>
      </c>
      <c r="CK9" s="9">
        <v>11200</v>
      </c>
      <c r="CL9" s="9">
        <v>468</v>
      </c>
      <c r="CM9" s="9">
        <v>126</v>
      </c>
      <c r="CN9" s="9">
        <v>2830</v>
      </c>
      <c r="CO9" s="9">
        <v>1680</v>
      </c>
      <c r="CP9" s="9">
        <v>360</v>
      </c>
      <c r="CQ9" s="9">
        <v>7989.22</v>
      </c>
      <c r="CR9" s="9">
        <v>1982</v>
      </c>
      <c r="CS9" s="9">
        <v>675</v>
      </c>
      <c r="CT9" s="9">
        <v>108</v>
      </c>
      <c r="CU9" s="9">
        <v>5097.4</v>
      </c>
      <c r="CV9" s="9">
        <v>44500</v>
      </c>
      <c r="CW9" s="9">
        <v>7107</v>
      </c>
      <c r="CX9" s="9">
        <v>360</v>
      </c>
      <c r="CY9" s="9">
        <v>1414</v>
      </c>
      <c r="CZ9" s="9">
        <v>409</v>
      </c>
      <c r="DA9" s="9">
        <v>3499.9</v>
      </c>
      <c r="DB9" s="9">
        <v>6447</v>
      </c>
      <c r="DC9" s="9">
        <v>2448</v>
      </c>
      <c r="DD9" s="9">
        <v>86</v>
      </c>
      <c r="DE9" s="9">
        <v>438.8</v>
      </c>
      <c r="DF9" s="9">
        <v>440</v>
      </c>
      <c r="DG9" s="9">
        <v>257.4</v>
      </c>
      <c r="DH9" s="9">
        <v>176</v>
      </c>
      <c r="DI9" s="9">
        <v>1540</v>
      </c>
      <c r="DJ9" s="9">
        <v>670</v>
      </c>
      <c r="DK9" s="9">
        <v>480</v>
      </c>
      <c r="DL9" s="9">
        <v>3570</v>
      </c>
      <c r="DM9" s="9">
        <v>583</v>
      </c>
      <c r="DN9" s="9">
        <v>360</v>
      </c>
      <c r="DO9" s="9">
        <v>7990.24</v>
      </c>
      <c r="DP9" s="9">
        <v>62</v>
      </c>
      <c r="DQ9" s="9">
        <v>1290.4</v>
      </c>
      <c r="DR9" s="9">
        <v>168</v>
      </c>
      <c r="DS9" s="9">
        <v>930</v>
      </c>
      <c r="DT9" s="9">
        <v>8059.8</v>
      </c>
      <c r="DU9" s="9">
        <v>1353.24</v>
      </c>
      <c r="DV9" s="9">
        <v>666.46</v>
      </c>
      <c r="DW9" s="9">
        <v>5712</v>
      </c>
      <c r="DX9" s="9">
        <v>13716</v>
      </c>
      <c r="DY9" s="9">
        <v>950.96</v>
      </c>
      <c r="DZ9" s="9">
        <v>976.5</v>
      </c>
      <c r="EA9" s="9">
        <v>621.4</v>
      </c>
      <c r="EB9" s="9">
        <v>699.02</v>
      </c>
      <c r="EC9" s="9">
        <v>1212.3</v>
      </c>
      <c r="ED9" s="9">
        <v>2603.6</v>
      </c>
      <c r="EE9" s="9">
        <v>1460.15</v>
      </c>
      <c r="EF9" s="9">
        <v>1032</v>
      </c>
      <c r="EG9" s="9">
        <v>944.28</v>
      </c>
      <c r="EH9" s="9">
        <v>3630</v>
      </c>
      <c r="EI9" s="9">
        <v>1919.47</v>
      </c>
      <c r="EJ9" s="9">
        <v>760</v>
      </c>
      <c r="EK9" s="9">
        <v>594</v>
      </c>
      <c r="EL9" s="9">
        <v>4950</v>
      </c>
      <c r="EM9" s="9">
        <v>13631.28</v>
      </c>
      <c r="EN9" s="9">
        <v>2450.1</v>
      </c>
      <c r="EO9" s="9">
        <v>246</v>
      </c>
      <c r="EP9" s="9">
        <v>350</v>
      </c>
      <c r="EQ9" s="9">
        <v>248.94</v>
      </c>
      <c r="ER9" s="9">
        <v>484</v>
      </c>
      <c r="ES9" s="9">
        <v>1193</v>
      </c>
      <c r="ET9" s="9">
        <v>250</v>
      </c>
      <c r="EU9" s="9">
        <v>1460</v>
      </c>
      <c r="EV9" s="9">
        <v>546</v>
      </c>
      <c r="EW9" s="9">
        <v>126</v>
      </c>
      <c r="EX9" s="9">
        <v>1660</v>
      </c>
      <c r="EY9" s="9">
        <v>1920</v>
      </c>
      <c r="EZ9" s="9">
        <v>10727.22</v>
      </c>
      <c r="FA9" s="9">
        <v>62</v>
      </c>
      <c r="FB9" s="9">
        <v>960</v>
      </c>
      <c r="FC9" s="9">
        <v>10020</v>
      </c>
      <c r="FD9" s="9">
        <v>3150</v>
      </c>
      <c r="FE9" s="9">
        <v>7650</v>
      </c>
      <c r="FF9" s="9">
        <v>696</v>
      </c>
      <c r="FG9" s="9">
        <v>4900</v>
      </c>
      <c r="FH9" s="9">
        <v>10447.6</v>
      </c>
      <c r="FI9" s="9">
        <v>3288</v>
      </c>
      <c r="FJ9" s="9">
        <v>14168</v>
      </c>
      <c r="FK9" s="9">
        <v>1540</v>
      </c>
      <c r="FL9" s="9">
        <v>619</v>
      </c>
      <c r="FM9" s="9">
        <v>1587</v>
      </c>
      <c r="FN9" s="9">
        <v>1429</v>
      </c>
      <c r="FO9" s="9">
        <v>619</v>
      </c>
      <c r="FP9" s="9">
        <v>4747.5</v>
      </c>
      <c r="FQ9" s="9">
        <v>541.8</v>
      </c>
      <c r="FR9" s="9"/>
      <c r="FS9" s="9"/>
      <c r="FT9" s="9"/>
      <c r="GE9" s="9"/>
      <c r="GF9" s="9"/>
      <c r="GG9" s="9"/>
      <c r="GH9" s="9"/>
      <c r="GI9" s="9"/>
      <c r="GJ9" s="9"/>
      <c r="GK9" s="9"/>
      <c r="GL9" s="9"/>
      <c r="GM9" s="9"/>
      <c r="GN9" s="9"/>
      <c r="GO9" s="9"/>
      <c r="GP9" s="9"/>
      <c r="GQ9" s="9"/>
      <c r="GR9" s="9"/>
      <c r="GS9" s="9"/>
      <c r="GT9" s="9"/>
      <c r="GU9" s="9"/>
      <c r="GV9" s="9"/>
      <c r="GW9" s="9"/>
      <c r="GX9" s="9"/>
      <c r="GY9" s="9"/>
      <c r="GZ9" s="9"/>
      <c r="HA9" s="9"/>
      <c r="HB9" s="9"/>
    </row>
    <row r="10" s="5" customFormat="true" customHeight="true" spans="1:211">
      <c r="A10" s="5">
        <v>9</v>
      </c>
      <c r="B10" s="6" t="str">
        <f>'明细表（有误0'!C12</f>
        <v>伟丰（天津）国际贸易有限公司</v>
      </c>
      <c r="D10" s="9">
        <v>3250</v>
      </c>
      <c r="E10" s="12">
        <f t="shared" si="0"/>
        <v>92358</v>
      </c>
      <c r="F10" s="9">
        <v>30250</v>
      </c>
      <c r="G10" s="9">
        <v>118</v>
      </c>
      <c r="H10" s="9">
        <v>19980</v>
      </c>
      <c r="I10" s="9">
        <v>2800</v>
      </c>
      <c r="J10" s="9">
        <v>7350</v>
      </c>
      <c r="K10" s="9">
        <v>12500</v>
      </c>
      <c r="L10" s="9">
        <v>19360</v>
      </c>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GF10" s="9"/>
      <c r="GG10" s="9"/>
      <c r="GH10" s="9"/>
      <c r="GI10" s="9"/>
      <c r="GJ10" s="9"/>
      <c r="GK10" s="9"/>
      <c r="GL10" s="9"/>
      <c r="GM10" s="9"/>
      <c r="GN10" s="9"/>
      <c r="GO10" s="9"/>
      <c r="GP10" s="9"/>
      <c r="GQ10" s="9"/>
      <c r="GR10" s="9"/>
      <c r="GS10" s="9"/>
      <c r="GT10" s="9"/>
      <c r="GU10" s="9"/>
      <c r="GV10" s="9"/>
      <c r="GW10" s="9"/>
      <c r="GX10" s="9"/>
      <c r="GY10" s="9"/>
      <c r="GZ10" s="9"/>
      <c r="HA10" s="9"/>
      <c r="HB10" s="9"/>
      <c r="HC10" s="9"/>
    </row>
    <row r="11" s="5" customFormat="true" customHeight="true" spans="1:144">
      <c r="A11" s="5">
        <v>10</v>
      </c>
      <c r="B11" s="6" t="str">
        <f>'明细表（有误0'!C13</f>
        <v>天津友圣发国际贸易有限公司</v>
      </c>
      <c r="E11" s="12">
        <f t="shared" si="0"/>
        <v>3861630.24390814</v>
      </c>
      <c r="F11" s="9">
        <v>86257.7</v>
      </c>
      <c r="G11" s="9">
        <v>50999.13</v>
      </c>
      <c r="H11" s="9">
        <v>184551.15</v>
      </c>
      <c r="I11" s="9">
        <v>72075.96</v>
      </c>
      <c r="J11" s="9">
        <v>94094.86</v>
      </c>
      <c r="K11" s="9">
        <v>835540.2</v>
      </c>
      <c r="L11" s="9">
        <v>286194.15</v>
      </c>
      <c r="M11" s="9">
        <v>18603.2</v>
      </c>
      <c r="N11" s="9">
        <v>9568.69</v>
      </c>
      <c r="O11" s="9">
        <v>30333.33</v>
      </c>
      <c r="P11" s="9">
        <f>781733.69/6.4601</f>
        <v>121009.533908144</v>
      </c>
      <c r="Q11" s="9">
        <v>75603.56</v>
      </c>
      <c r="R11" s="9">
        <v>337993.83</v>
      </c>
      <c r="S11" s="9">
        <v>32179.35</v>
      </c>
      <c r="T11" s="9">
        <v>167429.25</v>
      </c>
      <c r="U11" s="9">
        <v>61969.09</v>
      </c>
      <c r="V11" s="9">
        <v>601554.89</v>
      </c>
      <c r="W11" s="9">
        <v>35395.92</v>
      </c>
      <c r="X11" s="9">
        <v>20705.12</v>
      </c>
      <c r="Y11" s="9">
        <v>99619.37</v>
      </c>
      <c r="Z11" s="9">
        <v>476270.59</v>
      </c>
      <c r="AA11" s="9">
        <v>4524.3</v>
      </c>
      <c r="AB11" s="9">
        <v>39195.08</v>
      </c>
      <c r="AC11" s="9">
        <v>119961.99</v>
      </c>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row>
    <row r="12" s="5" customFormat="true" customHeight="true" spans="1:109">
      <c r="A12" s="5">
        <v>11</v>
      </c>
      <c r="B12" s="6" t="str">
        <f>'明细表（有误0'!C14</f>
        <v>易跨竞（天津）科技发展有限公司</v>
      </c>
      <c r="C12" s="10"/>
      <c r="D12" s="10"/>
      <c r="E12" s="12">
        <f t="shared" si="0"/>
        <v>3435782</v>
      </c>
      <c r="F12" s="9">
        <v>9800</v>
      </c>
      <c r="G12" s="9">
        <v>2520</v>
      </c>
      <c r="H12" s="9">
        <v>47520</v>
      </c>
      <c r="I12" s="9">
        <v>19060</v>
      </c>
      <c r="J12" s="9">
        <v>11135</v>
      </c>
      <c r="K12" s="9">
        <v>975</v>
      </c>
      <c r="L12" s="9">
        <v>31565</v>
      </c>
      <c r="M12" s="9">
        <v>28380</v>
      </c>
      <c r="N12" s="9">
        <v>33000</v>
      </c>
      <c r="O12" s="9">
        <v>19200</v>
      </c>
      <c r="P12" s="9">
        <v>5408</v>
      </c>
      <c r="Q12" s="9">
        <v>18000</v>
      </c>
      <c r="R12" s="9">
        <v>40535</v>
      </c>
      <c r="S12" s="9">
        <v>42864</v>
      </c>
      <c r="T12" s="9">
        <v>60</v>
      </c>
      <c r="U12" s="9">
        <v>14400</v>
      </c>
      <c r="V12" s="9">
        <v>6900</v>
      </c>
      <c r="W12" s="9">
        <v>13940</v>
      </c>
      <c r="X12" s="9">
        <v>320</v>
      </c>
      <c r="Y12" s="9">
        <v>38247</v>
      </c>
      <c r="Z12" s="9">
        <v>43776</v>
      </c>
      <c r="AA12" s="9">
        <v>32340</v>
      </c>
      <c r="AB12" s="9">
        <v>35250</v>
      </c>
      <c r="AC12" s="9">
        <v>36294</v>
      </c>
      <c r="AD12" s="9">
        <v>33899</v>
      </c>
      <c r="AE12" s="9">
        <v>41790</v>
      </c>
      <c r="AF12" s="9">
        <v>40120</v>
      </c>
      <c r="AG12" s="9">
        <v>39780</v>
      </c>
      <c r="AH12" s="9">
        <v>26320</v>
      </c>
      <c r="AI12" s="9">
        <v>9840</v>
      </c>
      <c r="AJ12" s="9">
        <v>33750</v>
      </c>
      <c r="AK12" s="9">
        <v>19188</v>
      </c>
      <c r="AL12" s="9">
        <v>1872</v>
      </c>
      <c r="AM12" s="9">
        <v>18620</v>
      </c>
      <c r="AN12" s="9">
        <v>66472</v>
      </c>
      <c r="AO12" s="9">
        <v>66570</v>
      </c>
      <c r="AP12" s="9">
        <v>43290</v>
      </c>
      <c r="AQ12" s="9">
        <v>44175</v>
      </c>
      <c r="AR12" s="9">
        <v>45375</v>
      </c>
      <c r="AS12" s="9">
        <v>26240</v>
      </c>
      <c r="AT12" s="9">
        <v>17200</v>
      </c>
      <c r="AU12" s="9">
        <v>454473</v>
      </c>
      <c r="AV12" s="9">
        <v>2574</v>
      </c>
      <c r="AW12" s="9">
        <v>35880</v>
      </c>
      <c r="AX12" s="9">
        <v>5600</v>
      </c>
      <c r="AY12" s="9">
        <v>3969</v>
      </c>
      <c r="AZ12" s="9">
        <v>41020</v>
      </c>
      <c r="BA12" s="9">
        <v>32745</v>
      </c>
      <c r="BB12" s="9">
        <v>5700</v>
      </c>
      <c r="BC12" s="9">
        <v>252</v>
      </c>
      <c r="BD12" s="9">
        <v>29645</v>
      </c>
      <c r="BE12" s="9">
        <v>12180</v>
      </c>
      <c r="BF12" s="9">
        <v>27600</v>
      </c>
      <c r="BG12" s="9">
        <v>26733</v>
      </c>
      <c r="BH12" s="9">
        <v>8500</v>
      </c>
      <c r="BI12" s="9">
        <v>15840</v>
      </c>
      <c r="BJ12" s="9">
        <v>32769</v>
      </c>
      <c r="BK12" s="9">
        <v>2860</v>
      </c>
      <c r="BL12" s="9">
        <v>40474</v>
      </c>
      <c r="BM12" s="9">
        <v>43584</v>
      </c>
      <c r="BN12" s="9">
        <v>42488</v>
      </c>
      <c r="BO12" s="9">
        <v>56908</v>
      </c>
      <c r="BP12" s="9">
        <v>4032</v>
      </c>
      <c r="BQ12" s="9">
        <v>42336</v>
      </c>
      <c r="BR12" s="9">
        <v>40194</v>
      </c>
      <c r="BS12" s="9">
        <v>44895</v>
      </c>
      <c r="BT12" s="9">
        <v>36162</v>
      </c>
      <c r="BU12" s="9">
        <v>40152</v>
      </c>
      <c r="BV12" s="9">
        <v>2808</v>
      </c>
      <c r="BW12" s="9">
        <v>37635</v>
      </c>
      <c r="BX12" s="9">
        <v>37750</v>
      </c>
      <c r="BY12" s="9">
        <v>44640</v>
      </c>
      <c r="BZ12" s="9">
        <v>47795</v>
      </c>
      <c r="CA12" s="9">
        <v>47970</v>
      </c>
      <c r="CB12" s="9">
        <v>47953</v>
      </c>
      <c r="CC12" s="9">
        <v>48800</v>
      </c>
      <c r="CD12" s="9">
        <v>8250</v>
      </c>
      <c r="CE12" s="9">
        <v>6720</v>
      </c>
      <c r="CF12" s="9">
        <v>28560</v>
      </c>
      <c r="CG12" s="9">
        <v>15908</v>
      </c>
      <c r="CH12" s="9">
        <v>37840</v>
      </c>
      <c r="CI12" s="9">
        <v>3550</v>
      </c>
      <c r="CJ12" s="9">
        <v>36084</v>
      </c>
      <c r="CK12" s="9">
        <v>48400</v>
      </c>
      <c r="CL12" s="9">
        <v>48400</v>
      </c>
      <c r="CM12" s="9">
        <v>48585</v>
      </c>
      <c r="CN12" s="9">
        <v>12690</v>
      </c>
      <c r="CO12" s="9">
        <v>29420</v>
      </c>
      <c r="CP12" s="9">
        <v>50841</v>
      </c>
      <c r="CQ12" s="9">
        <v>56028</v>
      </c>
      <c r="CR12" s="9">
        <v>51648</v>
      </c>
      <c r="CS12" s="9">
        <v>47190</v>
      </c>
      <c r="CT12" s="9">
        <v>48901</v>
      </c>
      <c r="CU12" s="9">
        <v>36580</v>
      </c>
      <c r="CV12" s="9">
        <v>1650</v>
      </c>
      <c r="CW12" s="9">
        <v>47120</v>
      </c>
      <c r="CX12" s="9">
        <v>46585</v>
      </c>
      <c r="CY12" s="9">
        <v>52863</v>
      </c>
      <c r="CZ12" s="9">
        <v>31720</v>
      </c>
      <c r="DA12" s="9">
        <v>7100</v>
      </c>
      <c r="DB12" s="9">
        <v>42763</v>
      </c>
      <c r="DC12" s="9">
        <v>39480</v>
      </c>
      <c r="DD12" s="9"/>
      <c r="DE12" s="9"/>
    </row>
    <row r="13" s="5" customFormat="true" customHeight="true" spans="2:136">
      <c r="B13" s="6"/>
      <c r="D13" s="10"/>
      <c r="E13" s="12">
        <f t="shared" si="0"/>
        <v>782924</v>
      </c>
      <c r="F13" s="9">
        <v>39560</v>
      </c>
      <c r="G13" s="9">
        <v>16240</v>
      </c>
      <c r="H13" s="9">
        <v>16470</v>
      </c>
      <c r="I13" s="9">
        <v>22800</v>
      </c>
      <c r="J13" s="9">
        <v>17480</v>
      </c>
      <c r="K13" s="9">
        <v>6300</v>
      </c>
      <c r="L13" s="9">
        <v>28227</v>
      </c>
      <c r="M13" s="9">
        <v>3150</v>
      </c>
      <c r="N13" s="9">
        <v>22000</v>
      </c>
      <c r="O13" s="9">
        <v>14921</v>
      </c>
      <c r="P13" s="9">
        <v>19200</v>
      </c>
      <c r="Q13" s="9">
        <v>5200</v>
      </c>
      <c r="R13" s="9">
        <v>2100</v>
      </c>
      <c r="S13" s="9">
        <v>22110</v>
      </c>
      <c r="T13" s="9">
        <v>1500</v>
      </c>
      <c r="U13" s="9">
        <v>41202</v>
      </c>
      <c r="V13" s="9">
        <v>8160</v>
      </c>
      <c r="W13" s="9">
        <v>3040</v>
      </c>
      <c r="X13" s="9">
        <v>7050</v>
      </c>
      <c r="Y13" s="9">
        <v>9720</v>
      </c>
      <c r="Z13" s="9">
        <v>15000</v>
      </c>
      <c r="AA13" s="9">
        <v>10500</v>
      </c>
      <c r="AB13" s="9">
        <v>2210</v>
      </c>
      <c r="AC13" s="9">
        <v>25600</v>
      </c>
      <c r="AD13" s="9">
        <v>40300</v>
      </c>
      <c r="AE13" s="9">
        <v>40300</v>
      </c>
      <c r="AF13" s="9">
        <v>39680</v>
      </c>
      <c r="AG13" s="9">
        <v>22880</v>
      </c>
      <c r="AH13" s="9">
        <v>29890</v>
      </c>
      <c r="AI13" s="9">
        <v>23560</v>
      </c>
      <c r="AJ13" s="9">
        <v>15394</v>
      </c>
      <c r="AK13" s="9">
        <v>20400</v>
      </c>
      <c r="AL13" s="9">
        <v>40300</v>
      </c>
      <c r="AM13" s="9">
        <v>16650</v>
      </c>
      <c r="AN13" s="9">
        <v>5320</v>
      </c>
      <c r="AO13" s="9">
        <v>1680</v>
      </c>
      <c r="AP13" s="9">
        <v>43200</v>
      </c>
      <c r="AQ13" s="9">
        <v>41674</v>
      </c>
      <c r="AR13" s="9">
        <v>41956</v>
      </c>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row>
    <row r="14" s="5" customFormat="true" customHeight="true" spans="1:145">
      <c r="A14" s="5">
        <v>12</v>
      </c>
      <c r="B14" s="6" t="str">
        <f>'明细表（有误0'!C15</f>
        <v>天津汇来国际贸易有限公司</v>
      </c>
      <c r="C14" s="10"/>
      <c r="D14" s="9">
        <f>375373.5+13802+87380+164688+59455+2673+75246.09+92469.08</f>
        <v>871086.67</v>
      </c>
      <c r="E14" s="12">
        <f t="shared" si="0"/>
        <v>3639970.96</v>
      </c>
      <c r="F14" s="9">
        <v>127272.83</v>
      </c>
      <c r="G14" s="9">
        <v>99113.03</v>
      </c>
      <c r="H14" s="9">
        <v>463352.16</v>
      </c>
      <c r="I14" s="9">
        <v>195497.51</v>
      </c>
      <c r="J14" s="9">
        <v>49881.65</v>
      </c>
      <c r="K14" s="9">
        <v>31680.28</v>
      </c>
      <c r="L14" s="9">
        <v>454146.45</v>
      </c>
      <c r="M14" s="9">
        <v>192033.54</v>
      </c>
      <c r="N14" s="9">
        <v>142006.8</v>
      </c>
      <c r="O14" s="9">
        <v>96283.16</v>
      </c>
      <c r="P14" s="9">
        <v>292778.7</v>
      </c>
      <c r="Q14" s="9">
        <v>158608.01</v>
      </c>
      <c r="R14" s="9">
        <v>36846.26</v>
      </c>
      <c r="S14" s="9">
        <v>18480</v>
      </c>
      <c r="T14" s="9">
        <v>19137.33</v>
      </c>
      <c r="U14" s="9">
        <v>268015</v>
      </c>
      <c r="V14" s="9">
        <v>390307.35</v>
      </c>
      <c r="W14" s="9">
        <v>464040.9</v>
      </c>
      <c r="X14" s="9">
        <v>87912.47</v>
      </c>
      <c r="Y14" s="9">
        <v>52577.53</v>
      </c>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row>
    <row r="15" s="5" customFormat="true" customHeight="true" spans="1:134">
      <c r="A15" s="5">
        <v>13</v>
      </c>
      <c r="B15" s="6" t="str">
        <f>'明细表（有误0'!C16</f>
        <v>天津忠旺铝业有限公司</v>
      </c>
      <c r="E15" s="12">
        <f>SUM(F15:Y15)</f>
        <v>1239304.87</v>
      </c>
      <c r="F15" s="9">
        <v>43139.99</v>
      </c>
      <c r="G15" s="9">
        <v>52770.2</v>
      </c>
      <c r="H15" s="9">
        <v>27713.34</v>
      </c>
      <c r="I15" s="9">
        <v>193954.8</v>
      </c>
      <c r="J15" s="9">
        <v>249683.62</v>
      </c>
      <c r="K15" s="9">
        <v>60509.5</v>
      </c>
      <c r="L15" s="9">
        <v>4628.25</v>
      </c>
      <c r="M15" s="9">
        <v>20824.4</v>
      </c>
      <c r="N15" s="9">
        <v>18239.26</v>
      </c>
      <c r="O15" s="9">
        <v>20865.94</v>
      </c>
      <c r="P15" s="9">
        <v>261.3</v>
      </c>
      <c r="Q15" s="9">
        <v>18265.53</v>
      </c>
      <c r="R15" s="9">
        <v>22955.16</v>
      </c>
      <c r="S15" s="9">
        <v>90068.55</v>
      </c>
      <c r="T15" s="9">
        <v>11279.58</v>
      </c>
      <c r="U15" s="9">
        <v>155098.14</v>
      </c>
      <c r="V15" s="9">
        <v>72846.29</v>
      </c>
      <c r="W15" s="9">
        <v>79686.66</v>
      </c>
      <c r="X15" s="9">
        <v>47638.04</v>
      </c>
      <c r="Y15" s="9">
        <v>48876.32</v>
      </c>
      <c r="Z15" s="13">
        <f>SUM(AA15:BK15)</f>
        <v>2063482.6</v>
      </c>
      <c r="AA15" s="9">
        <v>11440.49</v>
      </c>
      <c r="AB15" s="9">
        <v>5919.56</v>
      </c>
      <c r="AC15" s="9">
        <v>4308.55</v>
      </c>
      <c r="AD15" s="9">
        <v>29779.1</v>
      </c>
      <c r="AE15" s="9">
        <v>30990.3</v>
      </c>
      <c r="AF15" s="9">
        <v>36866.53</v>
      </c>
      <c r="AG15" s="9">
        <v>176967</v>
      </c>
      <c r="AH15" s="9">
        <v>71350.37</v>
      </c>
      <c r="AI15" s="9">
        <v>122682.96</v>
      </c>
      <c r="AJ15" s="9">
        <v>84738.6</v>
      </c>
      <c r="AK15" s="9">
        <v>28752.17</v>
      </c>
      <c r="AL15" s="9">
        <v>9610.15</v>
      </c>
      <c r="AM15" s="9">
        <v>18549.5</v>
      </c>
      <c r="AN15" s="9">
        <v>116976.96</v>
      </c>
      <c r="AO15" s="9">
        <v>50214.28</v>
      </c>
      <c r="AP15" s="9">
        <v>70547.49</v>
      </c>
      <c r="AQ15" s="9">
        <v>5377.05</v>
      </c>
      <c r="AR15" s="9">
        <v>198356.2</v>
      </c>
      <c r="AS15" s="9">
        <v>21194.79</v>
      </c>
      <c r="AT15" s="9">
        <v>9626.55</v>
      </c>
      <c r="AU15" s="9">
        <v>68454.03</v>
      </c>
      <c r="AV15" s="9">
        <v>35100.7</v>
      </c>
      <c r="AW15" s="9">
        <v>132027.21</v>
      </c>
      <c r="AX15" s="9">
        <v>53818.12</v>
      </c>
      <c r="AY15" s="9">
        <v>48094.25</v>
      </c>
      <c r="AZ15" s="9">
        <v>11942.3</v>
      </c>
      <c r="BA15" s="9">
        <v>22420.04</v>
      </c>
      <c r="BB15" s="9">
        <v>70601.64</v>
      </c>
      <c r="BC15" s="9">
        <v>46219.13</v>
      </c>
      <c r="BD15" s="9">
        <v>10812.48</v>
      </c>
      <c r="BE15" s="9">
        <v>46791.93</v>
      </c>
      <c r="BF15" s="9">
        <v>20767.54</v>
      </c>
      <c r="BG15" s="9">
        <v>132663.5</v>
      </c>
      <c r="BH15" s="9">
        <v>56167.34</v>
      </c>
      <c r="BI15" s="9">
        <v>34285.67</v>
      </c>
      <c r="BJ15" s="9">
        <v>67950.63</v>
      </c>
      <c r="BK15" s="9">
        <v>101117.49</v>
      </c>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row>
    <row r="16" s="5" customFormat="true" customHeight="true" spans="1:137">
      <c r="A16" s="5">
        <v>14</v>
      </c>
      <c r="B16" s="6" t="str">
        <f>'明细表（有误0'!C17</f>
        <v>天津市润飞贸易有限公司</v>
      </c>
      <c r="C16" s="9">
        <v>782624.26</v>
      </c>
      <c r="E16" s="12">
        <f t="shared" si="0"/>
        <v>18328510.92</v>
      </c>
      <c r="F16" s="9">
        <v>469525.84</v>
      </c>
      <c r="G16" s="9">
        <v>349181.58</v>
      </c>
      <c r="H16" s="9">
        <v>278819.64</v>
      </c>
      <c r="I16" s="9">
        <v>190682.1</v>
      </c>
      <c r="J16" s="9">
        <v>337179.36</v>
      </c>
      <c r="K16" s="9">
        <v>473452.7</v>
      </c>
      <c r="L16" s="9">
        <v>773606.28</v>
      </c>
      <c r="M16" s="9">
        <v>404990.2</v>
      </c>
      <c r="N16" s="9">
        <v>126949.94</v>
      </c>
      <c r="O16" s="9">
        <v>83372.06</v>
      </c>
      <c r="P16" s="9">
        <v>206571.08</v>
      </c>
      <c r="Q16" s="9">
        <v>70019.91</v>
      </c>
      <c r="R16" s="9">
        <v>83372.06</v>
      </c>
      <c r="S16" s="9">
        <v>206571.08</v>
      </c>
      <c r="T16" s="9">
        <v>70019.91</v>
      </c>
      <c r="U16" s="9">
        <v>661274.46</v>
      </c>
      <c r="V16" s="9">
        <v>84151.68</v>
      </c>
      <c r="W16" s="9">
        <v>352100.84</v>
      </c>
      <c r="X16" s="9">
        <v>391547.6</v>
      </c>
      <c r="Y16" s="9">
        <v>582952.54</v>
      </c>
      <c r="Z16" s="9">
        <v>295949.25</v>
      </c>
      <c r="AA16" s="9">
        <v>190819.59</v>
      </c>
      <c r="AB16" s="9">
        <v>74120.89</v>
      </c>
      <c r="AC16" s="9">
        <v>112520</v>
      </c>
      <c r="AD16" s="9">
        <v>85764.36</v>
      </c>
      <c r="AE16" s="9">
        <v>11668.91</v>
      </c>
      <c r="AF16" s="9">
        <v>770750</v>
      </c>
      <c r="AG16" s="9">
        <v>552536.6</v>
      </c>
      <c r="AH16" s="9">
        <v>584738.7</v>
      </c>
      <c r="AI16" s="9">
        <v>446863.9</v>
      </c>
      <c r="AJ16" s="9">
        <v>408661.26</v>
      </c>
      <c r="AK16" s="9">
        <v>218611.31</v>
      </c>
      <c r="AL16" s="9">
        <v>25941.98</v>
      </c>
      <c r="AM16" s="9">
        <v>372995.84</v>
      </c>
      <c r="AN16" s="9">
        <v>271139.92</v>
      </c>
      <c r="AO16" s="9">
        <v>705210.14</v>
      </c>
      <c r="AP16" s="9">
        <v>185010.36</v>
      </c>
      <c r="AQ16" s="9">
        <v>333748.44</v>
      </c>
      <c r="AR16" s="9">
        <v>582956.42</v>
      </c>
      <c r="AS16" s="9">
        <v>200839.26</v>
      </c>
      <c r="AT16" s="9">
        <v>40065.79</v>
      </c>
      <c r="AU16" s="9">
        <v>350331.4</v>
      </c>
      <c r="AV16" s="9">
        <v>77287.77</v>
      </c>
      <c r="AW16" s="9">
        <v>29887.36</v>
      </c>
      <c r="AX16" s="9">
        <v>259101.6</v>
      </c>
      <c r="AY16" s="9">
        <v>394752.12</v>
      </c>
      <c r="AZ16" s="9">
        <v>59701.2</v>
      </c>
      <c r="BA16" s="9">
        <v>297311.1</v>
      </c>
      <c r="BB16" s="9">
        <v>70577.18</v>
      </c>
      <c r="BC16" s="9">
        <v>29466.8</v>
      </c>
      <c r="BD16" s="9">
        <v>29548.6</v>
      </c>
      <c r="BE16" s="9">
        <v>460244.31</v>
      </c>
      <c r="BF16" s="9">
        <v>154304.79</v>
      </c>
      <c r="BG16" s="9">
        <v>259101.6</v>
      </c>
      <c r="BH16" s="9">
        <v>394752.12</v>
      </c>
      <c r="BI16" s="9">
        <v>304696.8</v>
      </c>
      <c r="BJ16" s="9">
        <v>464626.3</v>
      </c>
      <c r="BK16" s="9">
        <v>350911.31</v>
      </c>
      <c r="BL16" s="9">
        <v>754676.33</v>
      </c>
      <c r="BM16" s="9">
        <v>858891.05</v>
      </c>
      <c r="BN16" s="9">
        <v>31891.8</v>
      </c>
      <c r="BO16" s="9">
        <v>29195.6</v>
      </c>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row>
    <row r="17" s="5" customFormat="true" customHeight="true" spans="1:149">
      <c r="A17" s="5">
        <v>15</v>
      </c>
      <c r="B17" s="6" t="str">
        <f>'明细表（有误0'!C18</f>
        <v>天津力为国际贸易有限公司</v>
      </c>
      <c r="D17" s="10"/>
      <c r="E17" s="12">
        <f>SUM(F17:KR17)</f>
        <v>1537286.93</v>
      </c>
      <c r="F17" s="9">
        <v>18500.69</v>
      </c>
      <c r="G17" s="9">
        <v>98902.96</v>
      </c>
      <c r="H17" s="9">
        <v>110607.64</v>
      </c>
      <c r="I17" s="9">
        <v>50787.99</v>
      </c>
      <c r="J17" s="9">
        <v>3072.78</v>
      </c>
      <c r="K17" s="9">
        <v>6048.43</v>
      </c>
      <c r="L17" s="9">
        <v>30280</v>
      </c>
      <c r="M17" s="9">
        <v>32150.56</v>
      </c>
      <c r="N17" s="9">
        <v>24263.75</v>
      </c>
      <c r="O17" s="9">
        <v>38627.76</v>
      </c>
      <c r="P17" s="9">
        <v>4275.69</v>
      </c>
      <c r="Q17" s="9">
        <v>288.8</v>
      </c>
      <c r="R17" s="9">
        <v>1708.84</v>
      </c>
      <c r="S17" s="9">
        <v>8184.4</v>
      </c>
      <c r="T17" s="9">
        <v>52959.68</v>
      </c>
      <c r="U17" s="9">
        <v>4668.75</v>
      </c>
      <c r="V17" s="9">
        <v>13305.27</v>
      </c>
      <c r="W17" s="9">
        <v>38324.54</v>
      </c>
      <c r="X17" s="9">
        <v>183338.78</v>
      </c>
      <c r="Y17" s="9">
        <v>24317.02</v>
      </c>
      <c r="Z17" s="9">
        <v>108321.85</v>
      </c>
      <c r="AA17" s="9">
        <v>28564.61</v>
      </c>
      <c r="AB17" s="9">
        <v>8667.48</v>
      </c>
      <c r="AC17" s="9">
        <v>9679.4</v>
      </c>
      <c r="AD17" s="9">
        <v>40010.11</v>
      </c>
      <c r="AE17" s="9">
        <v>4067.14</v>
      </c>
      <c r="AF17" s="9">
        <v>4129.41</v>
      </c>
      <c r="AG17" s="9">
        <v>10555.1</v>
      </c>
      <c r="AH17" s="9">
        <v>9984.93</v>
      </c>
      <c r="AI17" s="9">
        <v>125545.57</v>
      </c>
      <c r="AJ17" s="9">
        <v>16683.3</v>
      </c>
      <c r="AK17" s="9">
        <v>31746.66</v>
      </c>
      <c r="AL17" s="9">
        <v>58372.95</v>
      </c>
      <c r="AM17" s="9">
        <v>22099.95</v>
      </c>
      <c r="AN17" s="9">
        <v>27461.09</v>
      </c>
      <c r="AO17" s="9">
        <v>24570.44</v>
      </c>
      <c r="AP17" s="9">
        <v>52620.5</v>
      </c>
      <c r="AQ17" s="9">
        <v>55487.6</v>
      </c>
      <c r="AR17" s="9">
        <v>23409.98</v>
      </c>
      <c r="AS17" s="9">
        <v>23158.87</v>
      </c>
      <c r="AT17" s="9">
        <v>57903.79</v>
      </c>
      <c r="AU17" s="9">
        <v>49631.87</v>
      </c>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row>
    <row r="18" s="5" customFormat="true" customHeight="true" spans="1:159">
      <c r="A18" s="5">
        <v>16</v>
      </c>
      <c r="B18" s="6" t="str">
        <f>'明细表（有误0'!C19</f>
        <v>天津世通力为办公家具贸易有限公司</v>
      </c>
      <c r="D18" s="10"/>
      <c r="E18" s="12">
        <f t="shared" si="0"/>
        <v>80593.15</v>
      </c>
      <c r="F18" s="9">
        <v>3154.8</v>
      </c>
      <c r="G18" s="9">
        <v>2448</v>
      </c>
      <c r="H18" s="9">
        <v>7975.2</v>
      </c>
      <c r="I18" s="9">
        <v>5950</v>
      </c>
      <c r="J18" s="9">
        <v>2850</v>
      </c>
      <c r="K18" s="9">
        <v>11800</v>
      </c>
      <c r="L18" s="9">
        <v>7155</v>
      </c>
      <c r="M18" s="9">
        <v>0.15</v>
      </c>
      <c r="N18" s="9">
        <v>25320</v>
      </c>
      <c r="O18" s="9">
        <v>13940</v>
      </c>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row>
    <row r="19" s="5" customFormat="true" customHeight="true" spans="1:159">
      <c r="A19" s="5">
        <v>17</v>
      </c>
      <c r="B19" s="6" t="str">
        <f>'明细表（有误0'!C20</f>
        <v>天津福格斯进出口贸易有限公司</v>
      </c>
      <c r="E19" s="12">
        <f t="shared" si="0"/>
        <v>120001.5</v>
      </c>
      <c r="F19" s="9">
        <v>2688</v>
      </c>
      <c r="G19" s="9">
        <v>19800</v>
      </c>
      <c r="H19" s="9">
        <v>35297.43</v>
      </c>
      <c r="I19" s="9">
        <v>7912</v>
      </c>
      <c r="J19" s="9">
        <v>12857.72</v>
      </c>
      <c r="K19" s="9">
        <v>4672</v>
      </c>
      <c r="L19" s="9">
        <v>2600</v>
      </c>
      <c r="M19" s="9">
        <v>687.5</v>
      </c>
      <c r="N19" s="9">
        <v>473.15</v>
      </c>
      <c r="O19" s="9">
        <v>12001.6</v>
      </c>
      <c r="P19" s="9">
        <v>4339.44</v>
      </c>
      <c r="Q19" s="9">
        <v>16672.66</v>
      </c>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row>
    <row r="20" s="5" customFormat="true" customHeight="true" spans="1:278">
      <c r="A20" s="5">
        <v>18</v>
      </c>
      <c r="B20" s="6" t="str">
        <f>'明细表（有误0'!C21</f>
        <v>天津晟美天源国际贸易有限公司</v>
      </c>
      <c r="C20" s="10"/>
      <c r="E20" s="12">
        <f>SUM(F20:KS21)</f>
        <v>3972150.07</v>
      </c>
      <c r="F20" s="9">
        <v>25602.59</v>
      </c>
      <c r="G20" s="9">
        <v>47319.84</v>
      </c>
      <c r="H20" s="9">
        <v>21582.04</v>
      </c>
      <c r="I20" s="9">
        <v>4315.85</v>
      </c>
      <c r="J20" s="9">
        <v>24613.2</v>
      </c>
      <c r="K20" s="9">
        <v>16830.96</v>
      </c>
      <c r="L20" s="9">
        <v>22980</v>
      </c>
      <c r="M20" s="9">
        <v>6906.92</v>
      </c>
      <c r="N20" s="9">
        <v>11633.02</v>
      </c>
      <c r="O20" s="9">
        <v>862.4</v>
      </c>
      <c r="P20" s="9">
        <v>1486</v>
      </c>
      <c r="Q20" s="9">
        <v>1237.5</v>
      </c>
      <c r="R20" s="9">
        <v>104.95</v>
      </c>
      <c r="S20" s="9">
        <v>2314</v>
      </c>
      <c r="T20" s="9">
        <v>3340.64</v>
      </c>
      <c r="U20" s="9">
        <v>297.2</v>
      </c>
      <c r="V20" s="9">
        <v>2370.6</v>
      </c>
      <c r="W20" s="9">
        <v>700</v>
      </c>
      <c r="X20" s="9">
        <v>60536.15</v>
      </c>
      <c r="Y20" s="9">
        <v>19425</v>
      </c>
      <c r="Z20" s="9">
        <v>2018.7</v>
      </c>
      <c r="AA20" s="9">
        <v>8779.6</v>
      </c>
      <c r="AB20" s="9">
        <v>2041.34</v>
      </c>
      <c r="AC20" s="9">
        <v>1011.26</v>
      </c>
      <c r="AD20" s="9">
        <v>446.04</v>
      </c>
      <c r="AE20" s="9">
        <v>4851</v>
      </c>
      <c r="AF20" s="9">
        <v>10090.88</v>
      </c>
      <c r="AG20" s="9">
        <v>5420.06</v>
      </c>
      <c r="AH20" s="9">
        <v>559</v>
      </c>
      <c r="AI20" s="9">
        <v>4998.3</v>
      </c>
      <c r="AJ20" s="9">
        <v>207.5</v>
      </c>
      <c r="AK20" s="9">
        <v>15490.89</v>
      </c>
      <c r="AL20" s="9">
        <v>5496.4</v>
      </c>
      <c r="AM20" s="9">
        <v>11026.47</v>
      </c>
      <c r="AN20" s="9">
        <v>6595.2</v>
      </c>
      <c r="AO20" s="9">
        <v>9236</v>
      </c>
      <c r="AP20" s="9">
        <v>1178.8</v>
      </c>
      <c r="AQ20" s="9">
        <v>8454.4</v>
      </c>
      <c r="AR20" s="9">
        <v>3680</v>
      </c>
      <c r="AS20" s="9">
        <v>9924.6</v>
      </c>
      <c r="AT20" s="9">
        <v>9692.2</v>
      </c>
      <c r="AU20" s="9">
        <v>3264.22</v>
      </c>
      <c r="AV20" s="9">
        <v>3252.3</v>
      </c>
      <c r="AW20" s="9">
        <v>2032.2</v>
      </c>
      <c r="AX20" s="9">
        <v>5950</v>
      </c>
      <c r="AY20" s="9">
        <v>6457.5</v>
      </c>
      <c r="AZ20" s="9">
        <v>237.3</v>
      </c>
      <c r="BA20" s="9">
        <v>17161.7</v>
      </c>
      <c r="BB20" s="9">
        <v>20165.5</v>
      </c>
      <c r="BC20" s="9">
        <v>4930</v>
      </c>
      <c r="BD20" s="9">
        <v>9342.5</v>
      </c>
      <c r="BE20" s="9">
        <v>4064.4</v>
      </c>
      <c r="BF20" s="9">
        <v>17237.02</v>
      </c>
      <c r="BG20" s="9">
        <v>11004.97</v>
      </c>
      <c r="BH20" s="9">
        <v>6657.59</v>
      </c>
      <c r="BI20" s="9">
        <v>1336</v>
      </c>
      <c r="BJ20" s="9">
        <v>6786</v>
      </c>
      <c r="BK20" s="9">
        <v>4185</v>
      </c>
      <c r="BL20" s="9">
        <v>19090.39</v>
      </c>
      <c r="BM20" s="9">
        <v>1710.6</v>
      </c>
      <c r="BN20" s="9">
        <v>4091.2</v>
      </c>
      <c r="BO20" s="9">
        <v>10978.6</v>
      </c>
      <c r="BP20" s="9">
        <v>15595.12</v>
      </c>
      <c r="BQ20" s="9">
        <v>1345.2</v>
      </c>
      <c r="BR20" s="9">
        <v>34062.83</v>
      </c>
      <c r="BS20" s="9">
        <v>1075</v>
      </c>
      <c r="BT20" s="9">
        <v>11541.16</v>
      </c>
      <c r="BU20" s="9">
        <v>2389.8</v>
      </c>
      <c r="BV20" s="9">
        <v>18518.41</v>
      </c>
      <c r="BW20" s="9">
        <v>23649.93</v>
      </c>
      <c r="BX20" s="9">
        <v>9933</v>
      </c>
      <c r="BY20" s="9">
        <v>6627.98</v>
      </c>
      <c r="BZ20" s="9">
        <v>9109.22</v>
      </c>
      <c r="CA20" s="9">
        <v>11574.97</v>
      </c>
      <c r="CB20" s="9">
        <v>50.4</v>
      </c>
      <c r="CC20" s="9">
        <v>19139.12</v>
      </c>
      <c r="CD20" s="9">
        <v>35284.9</v>
      </c>
      <c r="CE20" s="9">
        <v>3233</v>
      </c>
      <c r="CF20" s="9">
        <v>6260</v>
      </c>
      <c r="CG20" s="9">
        <v>777</v>
      </c>
      <c r="CH20" s="9">
        <v>2343</v>
      </c>
      <c r="CI20" s="9">
        <v>12954.2</v>
      </c>
      <c r="CJ20" s="9">
        <v>29250</v>
      </c>
      <c r="CK20" s="9">
        <v>39317.4</v>
      </c>
      <c r="CL20" s="9">
        <v>3354</v>
      </c>
      <c r="CM20" s="9">
        <v>19069.32</v>
      </c>
      <c r="CN20" s="9">
        <v>13127.36</v>
      </c>
      <c r="CO20" s="9">
        <v>700.92</v>
      </c>
      <c r="CP20" s="9">
        <v>946.2</v>
      </c>
      <c r="CQ20" s="9">
        <v>3411.48</v>
      </c>
      <c r="CR20" s="9">
        <v>5579.69</v>
      </c>
      <c r="CS20" s="9">
        <v>8003.66</v>
      </c>
      <c r="CT20" s="9">
        <v>11136.08</v>
      </c>
      <c r="CU20" s="9">
        <v>467.28</v>
      </c>
      <c r="CV20" s="9">
        <v>934.39</v>
      </c>
      <c r="CW20" s="9">
        <v>464.8</v>
      </c>
      <c r="CX20" s="9">
        <v>9189</v>
      </c>
      <c r="CY20" s="9">
        <v>8353.01</v>
      </c>
      <c r="CZ20" s="9">
        <v>3433</v>
      </c>
      <c r="DA20" s="9">
        <v>845</v>
      </c>
      <c r="DB20" s="9">
        <v>1479</v>
      </c>
      <c r="DC20" s="9">
        <v>14242.4</v>
      </c>
      <c r="DD20" s="9">
        <v>15868.2</v>
      </c>
      <c r="DE20" s="9">
        <v>10965</v>
      </c>
      <c r="DF20" s="9">
        <v>198</v>
      </c>
      <c r="DG20" s="9">
        <v>1044.5</v>
      </c>
      <c r="DH20" s="9">
        <v>348.4</v>
      </c>
      <c r="DI20" s="9">
        <v>4319.4</v>
      </c>
      <c r="DJ20" s="9">
        <v>1477.8</v>
      </c>
      <c r="DK20" s="9">
        <v>7426.1</v>
      </c>
      <c r="DL20" s="9">
        <v>13622.4</v>
      </c>
      <c r="DM20" s="9">
        <v>78626.1</v>
      </c>
      <c r="DN20" s="9">
        <v>11924.36</v>
      </c>
      <c r="DO20" s="9">
        <v>15099.4</v>
      </c>
      <c r="DP20" s="9">
        <v>1962</v>
      </c>
      <c r="DQ20" s="9">
        <v>4039</v>
      </c>
      <c r="DR20" s="9">
        <v>522.6</v>
      </c>
      <c r="DS20" s="9">
        <v>1261.8</v>
      </c>
      <c r="DT20" s="9">
        <v>3278</v>
      </c>
      <c r="DU20" s="9">
        <v>59589.4</v>
      </c>
      <c r="DV20" s="9">
        <v>13578.34</v>
      </c>
      <c r="DW20" s="9">
        <v>8848</v>
      </c>
      <c r="DX20" s="9">
        <v>1300</v>
      </c>
      <c r="DY20" s="9">
        <v>8286.7</v>
      </c>
      <c r="DZ20" s="9">
        <v>5297.6</v>
      </c>
      <c r="EA20" s="9">
        <v>2972</v>
      </c>
      <c r="EB20" s="9">
        <v>198</v>
      </c>
      <c r="EC20" s="9">
        <v>16016</v>
      </c>
      <c r="ED20" s="9">
        <v>10965</v>
      </c>
      <c r="EE20" s="9">
        <v>1242.5</v>
      </c>
      <c r="EF20" s="9">
        <v>672</v>
      </c>
      <c r="EG20" s="9">
        <v>112</v>
      </c>
      <c r="EH20" s="9">
        <v>364</v>
      </c>
      <c r="EI20" s="9">
        <v>348.4</v>
      </c>
      <c r="EJ20" s="9">
        <v>54.8</v>
      </c>
      <c r="EK20" s="9">
        <v>8039.84</v>
      </c>
      <c r="EL20" s="9">
        <v>8683.06</v>
      </c>
      <c r="EM20" s="9">
        <v>1914</v>
      </c>
      <c r="EN20" s="9">
        <v>4423.3</v>
      </c>
      <c r="EO20" s="9">
        <v>55247.5</v>
      </c>
      <c r="EP20" s="9">
        <v>16254.3</v>
      </c>
      <c r="EQ20" s="9">
        <v>5044.15</v>
      </c>
      <c r="ER20" s="9">
        <v>4362.4</v>
      </c>
      <c r="ES20" s="9">
        <v>929.1</v>
      </c>
      <c r="ET20" s="9">
        <v>1161</v>
      </c>
      <c r="EU20" s="9">
        <v>8671</v>
      </c>
      <c r="EV20" s="9">
        <v>1188</v>
      </c>
      <c r="EW20" s="9">
        <v>14521.94</v>
      </c>
      <c r="EX20" s="9">
        <v>4193.89</v>
      </c>
      <c r="EY20" s="9">
        <v>3063</v>
      </c>
      <c r="EZ20" s="9">
        <v>16351.36</v>
      </c>
      <c r="FA20" s="9">
        <v>497.64</v>
      </c>
      <c r="FB20" s="9">
        <v>11142.4</v>
      </c>
      <c r="FC20" s="9">
        <v>1809</v>
      </c>
      <c r="FD20" s="9">
        <v>25590.76</v>
      </c>
      <c r="FE20" s="9">
        <v>2089</v>
      </c>
      <c r="FF20" s="9">
        <v>522.6</v>
      </c>
      <c r="FG20" s="9">
        <v>268.2</v>
      </c>
      <c r="FH20" s="9">
        <v>959.1</v>
      </c>
      <c r="FI20" s="9">
        <v>9499.9</v>
      </c>
      <c r="FJ20" s="9">
        <v>1693</v>
      </c>
      <c r="FK20" s="9">
        <v>1515.72</v>
      </c>
      <c r="FL20" s="9">
        <v>1007.5</v>
      </c>
      <c r="FM20" s="9">
        <v>24619.35</v>
      </c>
      <c r="FN20" s="9">
        <v>1149.4</v>
      </c>
      <c r="FO20" s="9">
        <v>10383.61</v>
      </c>
      <c r="FP20" s="9">
        <v>2104</v>
      </c>
      <c r="FQ20" s="9">
        <v>1167.3</v>
      </c>
      <c r="FR20" s="9">
        <v>4228.4</v>
      </c>
      <c r="FS20" s="9">
        <v>1111.9</v>
      </c>
      <c r="FT20" s="9">
        <v>2630.62</v>
      </c>
      <c r="FU20" s="9">
        <v>1227.6</v>
      </c>
      <c r="FV20" s="9">
        <v>120</v>
      </c>
      <c r="FW20" s="9">
        <v>1486</v>
      </c>
      <c r="FX20" s="9">
        <v>123.68</v>
      </c>
      <c r="FY20" s="9">
        <v>23564.34</v>
      </c>
      <c r="FZ20" s="9">
        <v>42213.45</v>
      </c>
      <c r="GA20" s="9">
        <v>6234.2</v>
      </c>
      <c r="GB20" s="9">
        <v>1524.6</v>
      </c>
      <c r="GC20" s="9">
        <v>348.4</v>
      </c>
      <c r="GD20" s="9">
        <v>3417.8</v>
      </c>
      <c r="GE20" s="9">
        <v>1730</v>
      </c>
      <c r="GF20" s="9">
        <v>5900.4</v>
      </c>
      <c r="GG20" s="9">
        <v>14266</v>
      </c>
      <c r="GH20" s="9">
        <v>3638</v>
      </c>
      <c r="GI20" s="9">
        <v>3778</v>
      </c>
      <c r="GJ20" s="9">
        <v>18219.4</v>
      </c>
      <c r="GK20" s="9">
        <v>6828</v>
      </c>
      <c r="GL20" s="9">
        <v>9599.31</v>
      </c>
      <c r="GM20" s="9">
        <v>2649</v>
      </c>
      <c r="GN20" s="9">
        <v>6126</v>
      </c>
      <c r="GO20" s="9">
        <v>54.8</v>
      </c>
      <c r="GP20" s="9">
        <v>4780</v>
      </c>
      <c r="GQ20" s="9">
        <v>451.5</v>
      </c>
      <c r="GR20" s="9">
        <v>1680</v>
      </c>
      <c r="GS20" s="9">
        <v>18788.5</v>
      </c>
      <c r="GT20" s="9">
        <v>18048</v>
      </c>
      <c r="GU20" s="9">
        <v>71319.9</v>
      </c>
      <c r="GV20" s="9">
        <v>3207.6</v>
      </c>
      <c r="GW20" s="9">
        <v>72674</v>
      </c>
      <c r="GX20" s="9">
        <v>2877.3</v>
      </c>
      <c r="GY20" s="9">
        <v>6736.6</v>
      </c>
      <c r="GZ20" s="9">
        <v>666</v>
      </c>
      <c r="HA20" s="9">
        <v>21983.1</v>
      </c>
      <c r="HB20" s="9">
        <v>1841.4</v>
      </c>
      <c r="HC20" s="9">
        <v>3321</v>
      </c>
      <c r="HD20" s="9">
        <v>609.7</v>
      </c>
      <c r="HE20" s="9">
        <v>5052.72</v>
      </c>
      <c r="HF20" s="9">
        <v>26335.04</v>
      </c>
      <c r="HG20" s="9">
        <v>8144.4</v>
      </c>
      <c r="HH20" s="9">
        <v>3150</v>
      </c>
      <c r="HI20" s="9">
        <v>3060.8</v>
      </c>
      <c r="HJ20" s="9">
        <v>2.2</v>
      </c>
      <c r="HK20" s="9">
        <v>3973.2</v>
      </c>
      <c r="HL20" s="9">
        <v>13175</v>
      </c>
      <c r="HM20" s="9">
        <v>52303.72</v>
      </c>
      <c r="HN20" s="9">
        <v>3825</v>
      </c>
      <c r="HO20" s="9">
        <v>12857.6</v>
      </c>
      <c r="HP20" s="9">
        <v>28539</v>
      </c>
      <c r="HQ20" s="9">
        <v>968.9</v>
      </c>
      <c r="HR20" s="9">
        <v>3064</v>
      </c>
      <c r="HS20" s="9">
        <v>639.4</v>
      </c>
      <c r="HT20" s="9">
        <v>2257.75</v>
      </c>
      <c r="HU20" s="9">
        <v>7766.7</v>
      </c>
      <c r="HV20" s="9">
        <v>521.52</v>
      </c>
      <c r="HW20" s="9">
        <v>7443.78</v>
      </c>
      <c r="HX20" s="9">
        <v>2077.5</v>
      </c>
      <c r="HY20" s="9">
        <v>80774</v>
      </c>
      <c r="HZ20" s="9">
        <v>1576.5</v>
      </c>
      <c r="IA20" s="9">
        <v>82.2</v>
      </c>
      <c r="IB20" s="9">
        <v>1680</v>
      </c>
      <c r="IC20" s="9">
        <v>1603.8</v>
      </c>
      <c r="ID20" s="9">
        <v>4421</v>
      </c>
      <c r="IE20" s="9">
        <v>377.5</v>
      </c>
      <c r="IF20" s="9">
        <v>3007.6</v>
      </c>
      <c r="IG20" s="9">
        <v>8685.2</v>
      </c>
      <c r="IH20" s="9">
        <v>123.68</v>
      </c>
      <c r="II20" s="9">
        <v>1188.8</v>
      </c>
      <c r="IJ20" s="9">
        <v>8240.2</v>
      </c>
      <c r="IK20" s="9">
        <v>13686</v>
      </c>
      <c r="IL20" s="9">
        <v>13622.4</v>
      </c>
      <c r="IM20" s="9">
        <v>4467.98</v>
      </c>
      <c r="IN20" s="9">
        <v>3500</v>
      </c>
      <c r="IO20" s="9">
        <v>2587.5</v>
      </c>
      <c r="IP20" s="9">
        <v>1336.86</v>
      </c>
      <c r="IQ20" s="9">
        <v>9359.5</v>
      </c>
      <c r="IR20" s="9">
        <v>6874.92</v>
      </c>
      <c r="IS20" s="9">
        <v>1570.47</v>
      </c>
      <c r="IT20" s="9">
        <v>4952.4</v>
      </c>
      <c r="IU20" s="9">
        <v>1020</v>
      </c>
      <c r="IV20" s="9">
        <v>23775.35</v>
      </c>
      <c r="IW20" s="9">
        <v>1864</v>
      </c>
      <c r="IX20" s="9">
        <v>2339.2</v>
      </c>
      <c r="IY20" s="9">
        <v>4820.4</v>
      </c>
      <c r="IZ20" s="9">
        <v>819</v>
      </c>
      <c r="JA20" s="9">
        <v>12980.5</v>
      </c>
      <c r="JB20" s="9">
        <v>418.95</v>
      </c>
      <c r="JC20" s="9">
        <v>1129.36</v>
      </c>
      <c r="JD20" s="9">
        <v>12916.8</v>
      </c>
      <c r="JE20" s="9">
        <v>7517.6</v>
      </c>
      <c r="JF20" s="9">
        <v>1955.8</v>
      </c>
      <c r="JG20" s="9">
        <v>31546.56</v>
      </c>
      <c r="JH20" s="9">
        <v>32875.9</v>
      </c>
      <c r="JI20" s="9">
        <v>1129.36</v>
      </c>
      <c r="JJ20" s="9">
        <v>29187.9</v>
      </c>
      <c r="JK20" s="9">
        <v>10323.3</v>
      </c>
      <c r="JL20" s="9">
        <v>11093.7</v>
      </c>
      <c r="JM20" s="9">
        <v>2540.25</v>
      </c>
      <c r="JN20" s="9">
        <v>693</v>
      </c>
      <c r="JO20" s="9">
        <v>4180.11</v>
      </c>
      <c r="JP20" s="9">
        <v>19252</v>
      </c>
      <c r="JQ20" s="9">
        <v>14027.75</v>
      </c>
      <c r="JR20" s="9"/>
    </row>
    <row r="21" s="5" customFormat="true" customHeight="true" spans="1:278">
      <c r="A21" s="5">
        <v>18</v>
      </c>
      <c r="B21" s="6"/>
      <c r="C21" s="10"/>
      <c r="E21" s="12"/>
      <c r="F21" s="9">
        <v>6968</v>
      </c>
      <c r="G21" s="9">
        <v>4504.2</v>
      </c>
      <c r="H21" s="9">
        <v>8660.2</v>
      </c>
      <c r="I21" s="9">
        <v>124.25</v>
      </c>
      <c r="J21" s="9">
        <v>5144.2</v>
      </c>
      <c r="K21" s="9">
        <v>43248.8</v>
      </c>
      <c r="L21" s="9">
        <v>9869.4</v>
      </c>
      <c r="M21" s="9">
        <v>639.4</v>
      </c>
      <c r="N21" s="9">
        <v>693</v>
      </c>
      <c r="O21" s="9">
        <v>47266.42</v>
      </c>
      <c r="P21" s="9">
        <v>315</v>
      </c>
      <c r="Q21" s="9">
        <v>21510</v>
      </c>
      <c r="R21" s="9">
        <v>10537.6</v>
      </c>
      <c r="S21" s="9">
        <v>1255.6</v>
      </c>
      <c r="T21" s="9">
        <v>7558.2</v>
      </c>
      <c r="U21" s="9">
        <v>1785</v>
      </c>
      <c r="V21" s="9">
        <v>7135.15</v>
      </c>
      <c r="W21" s="9">
        <v>1738.4</v>
      </c>
      <c r="X21" s="9">
        <v>2602.2</v>
      </c>
      <c r="Y21" s="9">
        <v>25949.56</v>
      </c>
      <c r="Z21" s="9">
        <v>3419.9</v>
      </c>
      <c r="AA21" s="9">
        <v>39945</v>
      </c>
      <c r="AB21" s="9">
        <v>851.4</v>
      </c>
      <c r="AC21" s="9">
        <v>4221.14</v>
      </c>
      <c r="AD21" s="9">
        <v>43399.18</v>
      </c>
      <c r="AE21" s="9">
        <v>1005</v>
      </c>
      <c r="AF21" s="9">
        <v>1726</v>
      </c>
      <c r="AG21" s="9">
        <v>878.35</v>
      </c>
      <c r="AH21" s="9">
        <v>1188.8</v>
      </c>
      <c r="AI21" s="9">
        <v>247.36</v>
      </c>
      <c r="AJ21" s="9">
        <v>3397.5</v>
      </c>
      <c r="AK21" s="9">
        <v>7916.64</v>
      </c>
      <c r="AL21" s="9">
        <v>643.8</v>
      </c>
      <c r="AM21" s="9">
        <v>4915</v>
      </c>
      <c r="AN21" s="9">
        <v>1470</v>
      </c>
      <c r="AO21" s="9">
        <v>469.7</v>
      </c>
      <c r="AP21" s="9">
        <v>18605.76</v>
      </c>
      <c r="AQ21" s="9">
        <v>7695</v>
      </c>
      <c r="AR21" s="9">
        <v>388.5</v>
      </c>
      <c r="AS21" s="9">
        <v>3048.25</v>
      </c>
      <c r="AT21" s="9">
        <v>12627.1</v>
      </c>
      <c r="AU21" s="9">
        <v>55619.4</v>
      </c>
      <c r="AV21" s="9">
        <v>6167.72</v>
      </c>
      <c r="AW21" s="9">
        <v>2257.2</v>
      </c>
      <c r="AX21" s="9">
        <v>1193.47</v>
      </c>
      <c r="AY21" s="9">
        <v>2332.8</v>
      </c>
      <c r="AZ21" s="9">
        <v>24613.2</v>
      </c>
      <c r="BA21" s="9">
        <v>41351</v>
      </c>
      <c r="BB21" s="9">
        <v>2747.5</v>
      </c>
      <c r="BC21" s="9">
        <v>45584.5</v>
      </c>
      <c r="BD21" s="9">
        <v>16765</v>
      </c>
      <c r="BE21" s="9">
        <v>4373.9</v>
      </c>
      <c r="BF21" s="9">
        <v>14276.16</v>
      </c>
      <c r="BG21" s="9">
        <v>344.8</v>
      </c>
      <c r="BH21" s="9">
        <v>1075.66</v>
      </c>
      <c r="BI21" s="9">
        <v>10535.36</v>
      </c>
      <c r="BJ21" s="9">
        <v>5448.5</v>
      </c>
      <c r="BK21" s="9">
        <v>9152</v>
      </c>
      <c r="BL21" s="9">
        <v>6060.8</v>
      </c>
      <c r="BM21" s="9">
        <v>3054.8</v>
      </c>
      <c r="BN21" s="9">
        <v>15398.5</v>
      </c>
      <c r="BO21" s="9">
        <v>12051</v>
      </c>
      <c r="BP21" s="9">
        <v>11061</v>
      </c>
      <c r="BQ21" s="9">
        <v>5610.8</v>
      </c>
      <c r="BR21" s="9">
        <v>34458.7</v>
      </c>
      <c r="BS21" s="9">
        <v>2051.3</v>
      </c>
      <c r="BT21" s="9">
        <v>36218.5</v>
      </c>
      <c r="BU21" s="9">
        <v>7839.84</v>
      </c>
      <c r="BV21" s="9">
        <v>19521.6</v>
      </c>
      <c r="BW21" s="9">
        <v>959.1</v>
      </c>
      <c r="BX21" s="9">
        <v>11944.6</v>
      </c>
      <c r="BY21" s="9">
        <v>1180.5</v>
      </c>
      <c r="BZ21" s="9">
        <v>2075</v>
      </c>
      <c r="CA21" s="9">
        <v>12568.36</v>
      </c>
      <c r="CB21" s="9">
        <v>3064</v>
      </c>
      <c r="CC21" s="9">
        <v>958.1</v>
      </c>
      <c r="CD21" s="9">
        <v>2458.08</v>
      </c>
      <c r="CE21" s="9">
        <v>7899.16</v>
      </c>
      <c r="CF21" s="9">
        <v>9336.12</v>
      </c>
      <c r="CG21" s="9">
        <v>6757.4</v>
      </c>
      <c r="CH21" s="9">
        <v>7004.4</v>
      </c>
      <c r="CI21" s="9">
        <v>193.5</v>
      </c>
      <c r="CJ21" s="9">
        <v>3372.74</v>
      </c>
      <c r="CK21" s="9">
        <v>36984.92</v>
      </c>
      <c r="CL21" s="9">
        <v>10404.7</v>
      </c>
      <c r="CM21" s="9">
        <v>1575.8</v>
      </c>
      <c r="CN21" s="9">
        <v>258</v>
      </c>
      <c r="CO21" s="9">
        <v>1718.4</v>
      </c>
      <c r="CP21" s="9">
        <v>5.6</v>
      </c>
      <c r="CQ21" s="9">
        <v>17580</v>
      </c>
      <c r="CR21" s="9">
        <v>5431</v>
      </c>
      <c r="CS21" s="9">
        <v>814</v>
      </c>
      <c r="CT21" s="9">
        <v>949.32</v>
      </c>
      <c r="CU21" s="9">
        <v>8206.52</v>
      </c>
      <c r="CV21" s="9">
        <v>390</v>
      </c>
      <c r="CW21" s="9">
        <v>3570</v>
      </c>
      <c r="CX21" s="9">
        <v>2626.4</v>
      </c>
      <c r="CY21" s="9">
        <v>320.42</v>
      </c>
      <c r="CZ21" s="9">
        <v>7176.7</v>
      </c>
      <c r="DA21" s="9">
        <v>3150</v>
      </c>
      <c r="DB21" s="9">
        <v>12680</v>
      </c>
      <c r="DC21" s="9">
        <v>2050</v>
      </c>
      <c r="DD21" s="9">
        <v>2090</v>
      </c>
      <c r="DE21" s="9">
        <v>15286</v>
      </c>
      <c r="DF21" s="9">
        <v>6160</v>
      </c>
      <c r="DG21" s="9">
        <v>26561.5</v>
      </c>
      <c r="DH21" s="9">
        <v>333</v>
      </c>
      <c r="DI21" s="9">
        <v>8813.06</v>
      </c>
      <c r="DJ21" s="9">
        <v>10501.3</v>
      </c>
      <c r="DK21" s="9">
        <v>12350.11</v>
      </c>
      <c r="DL21" s="9">
        <v>1589.8</v>
      </c>
      <c r="DM21" s="9">
        <v>9928.74</v>
      </c>
      <c r="DN21" s="9">
        <v>1782.5</v>
      </c>
      <c r="DO21" s="9">
        <v>248.5</v>
      </c>
      <c r="DP21" s="9">
        <v>5638.98</v>
      </c>
      <c r="DQ21" s="9">
        <v>646.5</v>
      </c>
      <c r="DR21" s="9">
        <v>33639</v>
      </c>
      <c r="DS21" s="9">
        <v>3113.6</v>
      </c>
      <c r="DT21" s="9">
        <v>2380</v>
      </c>
      <c r="DU21" s="9">
        <v>588</v>
      </c>
      <c r="DV21" s="9">
        <v>15912.8</v>
      </c>
      <c r="DW21" s="9">
        <v>8276.2</v>
      </c>
      <c r="DX21" s="9">
        <v>2850.1</v>
      </c>
      <c r="DY21" s="9">
        <v>2040</v>
      </c>
      <c r="DZ21" s="9">
        <v>19425.8</v>
      </c>
      <c r="EA21" s="9">
        <v>9633.4</v>
      </c>
      <c r="EB21" s="9">
        <v>3476.3</v>
      </c>
      <c r="EC21" s="9">
        <v>4515.78</v>
      </c>
      <c r="ED21" s="9">
        <v>12963.9</v>
      </c>
      <c r="EE21" s="9">
        <v>304.8</v>
      </c>
      <c r="EF21" s="9">
        <v>2365</v>
      </c>
      <c r="EG21" s="9">
        <v>1885</v>
      </c>
      <c r="EH21" s="9">
        <v>12001.83</v>
      </c>
      <c r="EI21" s="9">
        <v>625.2</v>
      </c>
      <c r="EJ21" s="9">
        <v>4000.4</v>
      </c>
      <c r="EK21" s="9">
        <v>13115.55</v>
      </c>
      <c r="EL21" s="9">
        <v>194.25</v>
      </c>
      <c r="EM21" s="9">
        <v>7848</v>
      </c>
      <c r="EN21" s="9">
        <v>1583</v>
      </c>
      <c r="EO21" s="9">
        <v>15902.8</v>
      </c>
      <c r="EP21" s="9">
        <v>75</v>
      </c>
      <c r="EQ21" s="9">
        <v>5985</v>
      </c>
      <c r="ER21" s="9">
        <v>10883.5</v>
      </c>
      <c r="ES21" s="9">
        <v>34420.5</v>
      </c>
      <c r="ET21" s="9">
        <v>4890.6</v>
      </c>
      <c r="EU21" s="9">
        <v>1148</v>
      </c>
      <c r="EV21" s="9">
        <v>648.32</v>
      </c>
      <c r="EW21" s="9">
        <v>10759.6</v>
      </c>
      <c r="EX21" s="9">
        <v>1314.98</v>
      </c>
      <c r="EY21" s="9">
        <v>1625.4</v>
      </c>
      <c r="EZ21" s="9">
        <v>31386</v>
      </c>
      <c r="FA21" s="9">
        <v>1008</v>
      </c>
      <c r="FB21" s="9">
        <v>4430</v>
      </c>
      <c r="FC21" s="9">
        <v>1002</v>
      </c>
      <c r="FD21" s="9">
        <v>1097</v>
      </c>
      <c r="FE21" s="9">
        <v>7843.6</v>
      </c>
      <c r="FF21" s="9">
        <v>600</v>
      </c>
      <c r="FG21" s="9">
        <v>5884</v>
      </c>
      <c r="FH21" s="9">
        <v>891.6</v>
      </c>
      <c r="FI21" s="9">
        <v>4867.68</v>
      </c>
      <c r="FJ21" s="9">
        <f>60.3*20</f>
        <v>1206</v>
      </c>
      <c r="FK21" s="9">
        <v>17386.1</v>
      </c>
      <c r="FL21" s="9">
        <v>333</v>
      </c>
      <c r="FM21" s="9">
        <v>1471.7</v>
      </c>
      <c r="FN21" s="9">
        <v>8250</v>
      </c>
      <c r="FO21" s="9">
        <v>777</v>
      </c>
      <c r="FP21" s="9">
        <v>3605</v>
      </c>
      <c r="FQ21" s="9">
        <v>1344</v>
      </c>
      <c r="FR21" s="9">
        <v>184</v>
      </c>
      <c r="FS21" s="9">
        <v>13596.8</v>
      </c>
      <c r="FT21" s="9">
        <v>3693.8</v>
      </c>
      <c r="FU21" s="9">
        <v>3916.54</v>
      </c>
      <c r="FV21" s="9">
        <v>931</v>
      </c>
      <c r="FW21" s="9">
        <v>743</v>
      </c>
      <c r="FX21" s="9">
        <v>598.82</v>
      </c>
      <c r="FY21" s="9">
        <v>2680</v>
      </c>
      <c r="FZ21" s="9">
        <v>6827.7</v>
      </c>
      <c r="GA21" s="9">
        <v>15245</v>
      </c>
      <c r="GB21" s="9">
        <v>1386</v>
      </c>
      <c r="GC21" s="9">
        <v>1151.1</v>
      </c>
      <c r="GD21" s="9">
        <v>24.2</v>
      </c>
      <c r="GE21" s="9">
        <v>3322</v>
      </c>
      <c r="GF21" s="9">
        <v>2406</v>
      </c>
      <c r="GG21" s="9">
        <v>2145.6</v>
      </c>
      <c r="GH21" s="9">
        <v>6502.6</v>
      </c>
      <c r="GI21" s="9">
        <v>1746.9</v>
      </c>
      <c r="GJ21" s="9">
        <v>248.5</v>
      </c>
      <c r="GK21" s="9">
        <v>790</v>
      </c>
      <c r="GL21" s="9">
        <v>1758.35</v>
      </c>
      <c r="GM21" s="9">
        <v>24613.2</v>
      </c>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c r="IY21" s="9"/>
      <c r="IZ21" s="9"/>
      <c r="JA21" s="9"/>
      <c r="JB21" s="9"/>
      <c r="JC21" s="9"/>
      <c r="JD21" s="9"/>
      <c r="JE21" s="9"/>
      <c r="JF21" s="9"/>
      <c r="JG21" s="9"/>
      <c r="JH21" s="9"/>
      <c r="JI21" s="9"/>
      <c r="JJ21" s="9"/>
      <c r="JK21" s="9"/>
      <c r="JL21" s="9"/>
      <c r="JM21" s="9"/>
      <c r="JN21" s="9"/>
      <c r="JO21" s="9"/>
      <c r="JP21" s="9"/>
      <c r="JQ21" s="9"/>
      <c r="JR21" s="9"/>
    </row>
    <row r="22" customHeight="true" spans="1:143">
      <c r="A22" s="5">
        <v>19</v>
      </c>
      <c r="B22" s="6" t="str">
        <f>'明细表（有误0'!C22</f>
        <v>天津民杰科技股份有限公司</v>
      </c>
      <c r="C22" s="10"/>
      <c r="D22" s="9"/>
      <c r="E22" s="12">
        <f t="shared" si="0"/>
        <v>488267.14</v>
      </c>
      <c r="F22" s="9">
        <v>44471.18</v>
      </c>
      <c r="G22" s="9">
        <v>17825.59</v>
      </c>
      <c r="H22" s="9">
        <v>16678.18</v>
      </c>
      <c r="I22" s="9">
        <v>31500.93</v>
      </c>
      <c r="J22" s="9">
        <v>7463.23</v>
      </c>
      <c r="K22" s="9">
        <v>2830.2</v>
      </c>
      <c r="L22" s="9">
        <v>10117.5</v>
      </c>
      <c r="M22" s="9">
        <v>22166.84</v>
      </c>
      <c r="N22" s="9">
        <v>111024</v>
      </c>
      <c r="O22" s="9">
        <v>19264.7</v>
      </c>
      <c r="P22" s="9">
        <v>114241.75</v>
      </c>
      <c r="Q22" s="9">
        <v>90683.04</v>
      </c>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row>
    <row r="23" customHeight="true" spans="1:143">
      <c r="A23" s="5">
        <v>20</v>
      </c>
      <c r="B23" s="6" t="str">
        <f>'明细表（有误0'!C23</f>
        <v>天津鑫晟供应链管理有限公司</v>
      </c>
      <c r="D23" s="9"/>
      <c r="E23" s="12">
        <f t="shared" si="0"/>
        <v>0</v>
      </c>
      <c r="F23" s="9"/>
      <c r="G23" s="9"/>
      <c r="H23" s="9"/>
      <c r="I23" s="9"/>
      <c r="J23" s="9"/>
      <c r="K23" s="9"/>
      <c r="L23" s="9"/>
      <c r="M23" s="9"/>
      <c r="N23" s="9"/>
      <c r="O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row>
    <row r="24" customHeight="true" spans="1:140">
      <c r="A24" s="5">
        <v>21</v>
      </c>
      <c r="B24" s="6" t="str">
        <f>'明细表（有误0'!C24</f>
        <v>天津广大纸业股份有限公司</v>
      </c>
      <c r="C24" s="10"/>
      <c r="D24" s="9"/>
      <c r="E24" s="12">
        <f>SUM(F24:KM24)</f>
        <v>499946.859898144</v>
      </c>
      <c r="F24" s="9">
        <v>2540.6</v>
      </c>
      <c r="G24" s="9">
        <v>5185.8</v>
      </c>
      <c r="H24" s="9">
        <v>34194</v>
      </c>
      <c r="I24" s="9">
        <v>47662</v>
      </c>
      <c r="J24" s="9">
        <v>5504</v>
      </c>
      <c r="K24" s="9">
        <v>5960</v>
      </c>
      <c r="L24" s="9">
        <v>6414.5</v>
      </c>
      <c r="M24" s="9">
        <v>4100</v>
      </c>
      <c r="N24" s="9">
        <v>12940</v>
      </c>
      <c r="O24" s="9">
        <v>5015</v>
      </c>
      <c r="P24" s="9">
        <v>9285.3</v>
      </c>
      <c r="Q24" s="9">
        <f>58000*7.6862/6.4601</f>
        <v>69008.1577684556</v>
      </c>
      <c r="R24" s="9">
        <v>357</v>
      </c>
      <c r="S24" s="9">
        <v>2719.3</v>
      </c>
      <c r="T24" s="9">
        <v>6932</v>
      </c>
      <c r="U24" s="9">
        <v>64372.3</v>
      </c>
      <c r="V24" s="9">
        <f>67970*7.6862/6.4601</f>
        <v>80870.4221296884</v>
      </c>
      <c r="W24" s="9">
        <v>6580</v>
      </c>
      <c r="X24" s="9">
        <v>1418</v>
      </c>
      <c r="Y24" s="9">
        <v>222.5</v>
      </c>
      <c r="Z24" s="9">
        <v>3210</v>
      </c>
      <c r="AA24" s="9">
        <v>900</v>
      </c>
      <c r="AB24" s="9">
        <v>795.2</v>
      </c>
      <c r="AC24" s="9">
        <v>7486.1</v>
      </c>
      <c r="AD24" s="9">
        <v>1257</v>
      </c>
      <c r="AE24" s="9">
        <v>2880</v>
      </c>
      <c r="AF24" s="9">
        <v>3668.5</v>
      </c>
      <c r="AG24" s="9">
        <v>2448</v>
      </c>
      <c r="AH24" s="9">
        <v>21293.68</v>
      </c>
      <c r="AI24" s="9">
        <v>27076.5</v>
      </c>
      <c r="AJ24" s="9">
        <v>8320</v>
      </c>
      <c r="AK24" s="9">
        <v>7214</v>
      </c>
      <c r="AL24" s="9">
        <v>5424</v>
      </c>
      <c r="AM24" s="9">
        <v>12083</v>
      </c>
      <c r="AN24" s="9">
        <v>10250</v>
      </c>
      <c r="AO24" s="9">
        <v>5125</v>
      </c>
      <c r="AP24" s="9">
        <v>5924</v>
      </c>
      <c r="AQ24" s="9">
        <v>3311</v>
      </c>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row>
    <row r="25" customHeight="true" spans="1:143">
      <c r="A25" s="5">
        <v>22</v>
      </c>
      <c r="B25" s="6" t="str">
        <f>'明细表（有误0'!C25</f>
        <v>天津泰如进出口贸易有限公司</v>
      </c>
      <c r="D25" s="9"/>
      <c r="E25" s="12">
        <f t="shared" si="0"/>
        <v>494321.71</v>
      </c>
      <c r="F25" s="9">
        <v>4820</v>
      </c>
      <c r="G25" s="9">
        <v>13070</v>
      </c>
      <c r="H25" s="9">
        <v>9827.6</v>
      </c>
      <c r="I25" s="9">
        <v>11130</v>
      </c>
      <c r="J25" s="9">
        <v>21423.09</v>
      </c>
      <c r="K25" s="9">
        <v>51531.56</v>
      </c>
      <c r="L25" s="9">
        <v>1534.8</v>
      </c>
      <c r="M25" s="9">
        <v>77825.6</v>
      </c>
      <c r="N25" s="9">
        <v>142009.94</v>
      </c>
      <c r="O25" s="9">
        <v>2720</v>
      </c>
      <c r="P25" s="9">
        <v>13769.64</v>
      </c>
      <c r="Q25" s="9">
        <v>4275</v>
      </c>
      <c r="R25" s="9">
        <v>20425.5</v>
      </c>
      <c r="S25" s="9">
        <v>61041.84</v>
      </c>
      <c r="T25" s="9">
        <v>4365</v>
      </c>
      <c r="U25" s="9">
        <v>26139.2</v>
      </c>
      <c r="V25" s="9">
        <v>26912.94</v>
      </c>
      <c r="W25" s="9">
        <v>1500</v>
      </c>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row>
    <row r="26" customHeight="true" spans="1:142">
      <c r="A26" s="5">
        <v>23</v>
      </c>
      <c r="B26" s="6" t="str">
        <f>'明细表（有误0'!C26</f>
        <v>鸿威新科（天津）装饰材料有限公司</v>
      </c>
      <c r="C26" s="9">
        <f>11460.65+561+3251.6+2835.6+841.5+5825</f>
        <v>24775.35</v>
      </c>
      <c r="D26" s="9">
        <f>5712.12+23083.33</f>
        <v>28795.45</v>
      </c>
      <c r="E26" s="12">
        <f t="shared" si="0"/>
        <v>820232.96</v>
      </c>
      <c r="F26" s="9">
        <v>13500</v>
      </c>
      <c r="G26" s="9">
        <v>36840.7</v>
      </c>
      <c r="H26" s="9">
        <v>17765.06</v>
      </c>
      <c r="I26" s="9">
        <v>4052.16</v>
      </c>
      <c r="J26" s="9">
        <v>2031.4</v>
      </c>
      <c r="K26" s="9">
        <v>55035</v>
      </c>
      <c r="L26" s="9">
        <v>28498</v>
      </c>
      <c r="M26" s="9">
        <v>407</v>
      </c>
      <c r="N26" s="9">
        <v>866.4</v>
      </c>
      <c r="O26" s="9">
        <v>1500</v>
      </c>
      <c r="P26" s="9">
        <v>28146.04</v>
      </c>
      <c r="Q26" s="9">
        <v>9551.62</v>
      </c>
      <c r="R26" s="9">
        <v>2369</v>
      </c>
      <c r="S26" s="9">
        <v>27923.1</v>
      </c>
      <c r="T26" s="9">
        <v>2031</v>
      </c>
      <c r="U26" s="9">
        <v>4898.88</v>
      </c>
      <c r="V26" s="9">
        <v>68312.86</v>
      </c>
      <c r="W26" s="9">
        <v>37273.2</v>
      </c>
      <c r="X26" s="9">
        <v>689</v>
      </c>
      <c r="Y26" s="9">
        <v>28360.02</v>
      </c>
      <c r="Z26" s="9">
        <v>5848</v>
      </c>
      <c r="AA26" s="9">
        <v>42273.1</v>
      </c>
      <c r="AB26" s="9">
        <v>4052.16</v>
      </c>
      <c r="AC26" s="9">
        <v>24410.65</v>
      </c>
      <c r="AD26" s="9">
        <v>555</v>
      </c>
      <c r="AE26" s="9">
        <v>4570</v>
      </c>
      <c r="AF26" s="9">
        <v>7028.88</v>
      </c>
      <c r="AG26" s="9">
        <v>2062.2</v>
      </c>
      <c r="AH26" s="9">
        <v>29411</v>
      </c>
      <c r="AI26" s="9">
        <v>2708</v>
      </c>
      <c r="AJ26" s="9">
        <v>17936.2</v>
      </c>
      <c r="AK26" s="9">
        <v>20322</v>
      </c>
      <c r="AL26" s="9">
        <v>25286.4</v>
      </c>
      <c r="AM26" s="9">
        <v>14448</v>
      </c>
      <c r="AN26" s="9">
        <v>7805</v>
      </c>
      <c r="AO26" s="9">
        <v>14795.6</v>
      </c>
      <c r="AP26" s="9">
        <v>54974.4</v>
      </c>
      <c r="AQ26" s="9">
        <v>1462</v>
      </c>
      <c r="AR26" s="9">
        <v>31879.2</v>
      </c>
      <c r="AS26" s="9">
        <v>4798.62</v>
      </c>
      <c r="AT26" s="9">
        <v>806.4</v>
      </c>
      <c r="AU26" s="9">
        <v>26793.04</v>
      </c>
      <c r="AV26" s="9">
        <v>1306.9</v>
      </c>
      <c r="AW26" s="9">
        <v>24373.51</v>
      </c>
      <c r="AX26" s="9">
        <v>2766</v>
      </c>
      <c r="AY26" s="9">
        <v>655.2</v>
      </c>
      <c r="AZ26" s="9">
        <v>20062</v>
      </c>
      <c r="BA26" s="9">
        <v>36765.16</v>
      </c>
      <c r="BB26" s="9">
        <v>8243.4</v>
      </c>
      <c r="BC26" s="9">
        <v>11784.5</v>
      </c>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row>
    <row r="27" customHeight="true" spans="1:140">
      <c r="A27" s="5">
        <v>24</v>
      </c>
      <c r="B27" s="6" t="str">
        <f>'明细表（有误0'!C27</f>
        <v>天津市力拓进出口有限公司</v>
      </c>
      <c r="D27" s="9"/>
      <c r="E27" s="12">
        <f>SUM(F27:KP27)</f>
        <v>193729.59</v>
      </c>
      <c r="F27" s="9">
        <v>39296</v>
      </c>
      <c r="G27" s="9">
        <v>7908</v>
      </c>
      <c r="H27" s="9">
        <v>13184</v>
      </c>
      <c r="I27" s="9">
        <v>8330.15</v>
      </c>
      <c r="J27" s="9">
        <v>49488</v>
      </c>
      <c r="K27" s="9">
        <v>40188.64</v>
      </c>
      <c r="L27" s="9">
        <v>35334.8</v>
      </c>
      <c r="M27" s="9"/>
      <c r="N27" s="9"/>
      <c r="O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row>
    <row r="28" customHeight="true" spans="1:166">
      <c r="A28" s="5">
        <v>25</v>
      </c>
      <c r="B28" s="6" t="str">
        <f>'明细表（有误0'!C28</f>
        <v>天津摩登时代商贸有限公司</v>
      </c>
      <c r="D28" s="9"/>
      <c r="E28" s="12">
        <f t="shared" ref="E28:E47" si="1">SUM(F28:KS28)</f>
        <v>66884.8</v>
      </c>
      <c r="F28" s="9">
        <v>30</v>
      </c>
      <c r="G28" s="9">
        <v>2856</v>
      </c>
      <c r="H28" s="9">
        <v>2168.1</v>
      </c>
      <c r="I28" s="9">
        <v>2940</v>
      </c>
      <c r="J28" s="9">
        <v>2550</v>
      </c>
      <c r="K28" s="9">
        <v>2100</v>
      </c>
      <c r="L28" s="9">
        <v>2950</v>
      </c>
      <c r="M28" s="9">
        <v>968</v>
      </c>
      <c r="N28" s="9">
        <v>594</v>
      </c>
      <c r="O28" s="9">
        <v>882</v>
      </c>
      <c r="P28" s="9">
        <v>512</v>
      </c>
      <c r="Q28" s="9">
        <v>924</v>
      </c>
      <c r="R28" s="9">
        <v>1144</v>
      </c>
      <c r="S28" s="9">
        <v>1012</v>
      </c>
      <c r="T28" s="9">
        <v>6100</v>
      </c>
      <c r="U28" s="9">
        <v>3700</v>
      </c>
      <c r="V28" s="9">
        <v>6540</v>
      </c>
      <c r="W28" s="9">
        <v>5320</v>
      </c>
      <c r="X28" s="9">
        <v>22.5</v>
      </c>
      <c r="Y28" s="9">
        <v>24.5</v>
      </c>
      <c r="Z28" s="9">
        <v>32</v>
      </c>
      <c r="AA28" s="9">
        <v>39</v>
      </c>
      <c r="AB28" s="9">
        <v>31</v>
      </c>
      <c r="AC28" s="9">
        <v>21.8</v>
      </c>
      <c r="AD28" s="9">
        <v>21.9</v>
      </c>
      <c r="AE28" s="9">
        <v>1320</v>
      </c>
      <c r="AF28" s="9">
        <v>1990</v>
      </c>
      <c r="AG28" s="9">
        <v>1295</v>
      </c>
      <c r="AH28" s="9">
        <v>420</v>
      </c>
      <c r="AI28" s="9">
        <v>1060</v>
      </c>
      <c r="AJ28" s="9">
        <v>1738</v>
      </c>
      <c r="AK28" s="9">
        <v>924</v>
      </c>
      <c r="AL28" s="9">
        <v>23</v>
      </c>
      <c r="AM28" s="9">
        <v>182</v>
      </c>
      <c r="AN28" s="9">
        <v>182</v>
      </c>
      <c r="AO28" s="9">
        <v>6</v>
      </c>
      <c r="AP28" s="9">
        <v>222</v>
      </c>
      <c r="AQ28" s="9">
        <v>11076</v>
      </c>
      <c r="AR28" s="9">
        <v>2964</v>
      </c>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row>
    <row r="29" customHeight="true" spans="1:241">
      <c r="A29" s="5">
        <v>26</v>
      </c>
      <c r="B29" s="6" t="str">
        <f>'明细表（有误0'!C29</f>
        <v>天津世纪五矿贸易有限公司</v>
      </c>
      <c r="D29" s="9"/>
      <c r="E29" s="12">
        <f>SUM(F29:IM29)</f>
        <v>3625676.36</v>
      </c>
      <c r="F29" s="9">
        <v>29946.8</v>
      </c>
      <c r="G29" s="9">
        <v>5838.48</v>
      </c>
      <c r="H29" s="9">
        <v>7266.24</v>
      </c>
      <c r="I29" s="9">
        <v>6981.12</v>
      </c>
      <c r="J29" s="9">
        <v>2095.2</v>
      </c>
      <c r="K29" s="9">
        <v>27380</v>
      </c>
      <c r="L29" s="9">
        <v>13842.36</v>
      </c>
      <c r="M29" s="9">
        <v>61942.58</v>
      </c>
      <c r="N29" s="9">
        <v>4088.56</v>
      </c>
      <c r="O29" s="9">
        <v>19982.4</v>
      </c>
      <c r="P29" s="9">
        <v>17500</v>
      </c>
      <c r="Q29" s="9">
        <v>22616.9</v>
      </c>
      <c r="R29" s="9">
        <v>29439.9</v>
      </c>
      <c r="S29" s="9">
        <v>994</v>
      </c>
      <c r="T29" s="9">
        <v>4200</v>
      </c>
      <c r="U29" s="9">
        <v>10240</v>
      </c>
      <c r="V29" s="9">
        <v>735</v>
      </c>
      <c r="W29" s="9">
        <v>3780</v>
      </c>
      <c r="X29" s="9">
        <v>4303</v>
      </c>
      <c r="Y29" s="9">
        <v>2120</v>
      </c>
      <c r="Z29" s="9">
        <v>1550</v>
      </c>
      <c r="AA29" s="9">
        <v>78000</v>
      </c>
      <c r="AB29" s="9">
        <v>110200</v>
      </c>
      <c r="AC29" s="9">
        <v>19750</v>
      </c>
      <c r="AD29" s="9">
        <v>12603</v>
      </c>
      <c r="AE29" s="9">
        <v>1455.5</v>
      </c>
      <c r="AF29" s="9">
        <v>26641</v>
      </c>
      <c r="AG29" s="9">
        <v>18200</v>
      </c>
      <c r="AH29" s="9">
        <v>17415</v>
      </c>
      <c r="AI29" s="9">
        <v>36934</v>
      </c>
      <c r="AJ29" s="9">
        <v>2655</v>
      </c>
      <c r="AK29" s="9">
        <v>56700</v>
      </c>
      <c r="AL29" s="9">
        <v>22580</v>
      </c>
      <c r="AM29" s="9">
        <v>8444</v>
      </c>
      <c r="AN29" s="9">
        <v>5973.12</v>
      </c>
      <c r="AO29" s="9">
        <v>2280</v>
      </c>
      <c r="AP29" s="9">
        <v>12019</v>
      </c>
      <c r="AQ29" s="9">
        <v>50254.8</v>
      </c>
      <c r="AR29" s="9">
        <v>20669.6</v>
      </c>
      <c r="AS29" s="9">
        <v>28565</v>
      </c>
      <c r="AT29" s="9">
        <v>17680</v>
      </c>
      <c r="AU29" s="9">
        <v>7479</v>
      </c>
      <c r="AV29" s="9">
        <v>3150</v>
      </c>
      <c r="AW29" s="9">
        <v>14400</v>
      </c>
      <c r="AX29" s="9">
        <v>1864</v>
      </c>
      <c r="AY29" s="9">
        <v>45319.8</v>
      </c>
      <c r="AZ29" s="9">
        <v>2452.33</v>
      </c>
      <c r="BA29" s="9">
        <v>17780</v>
      </c>
      <c r="BB29" s="9">
        <v>21820</v>
      </c>
      <c r="BC29" s="9">
        <v>20735</v>
      </c>
      <c r="BD29" s="9">
        <v>3075</v>
      </c>
      <c r="BE29" s="9">
        <v>4986.56</v>
      </c>
      <c r="BF29" s="9">
        <v>12944.48</v>
      </c>
      <c r="BG29" s="9">
        <v>2471.2</v>
      </c>
      <c r="BH29" s="9">
        <v>599.64</v>
      </c>
      <c r="BI29" s="9">
        <v>782.34</v>
      </c>
      <c r="BJ29" s="9">
        <v>65993.4</v>
      </c>
      <c r="BK29" s="9">
        <v>34423.12</v>
      </c>
      <c r="BL29" s="9">
        <v>10922.4</v>
      </c>
      <c r="BM29" s="9">
        <v>5051.8</v>
      </c>
      <c r="BN29" s="9">
        <v>485.1</v>
      </c>
      <c r="BO29" s="9">
        <v>34115.72</v>
      </c>
      <c r="BP29" s="9">
        <v>11924.4</v>
      </c>
      <c r="BQ29" s="9">
        <v>21903.75</v>
      </c>
      <c r="BR29" s="9">
        <v>11451.3</v>
      </c>
      <c r="BS29" s="9">
        <v>89102</v>
      </c>
      <c r="BT29" s="9">
        <v>1253.5</v>
      </c>
      <c r="BU29" s="9">
        <v>5819</v>
      </c>
      <c r="BV29" s="9">
        <v>2599</v>
      </c>
      <c r="BW29" s="9">
        <v>17237</v>
      </c>
      <c r="BX29" s="9">
        <v>37480</v>
      </c>
      <c r="BY29" s="9">
        <v>59360</v>
      </c>
      <c r="BZ29" s="9">
        <v>19925</v>
      </c>
      <c r="CA29" s="9">
        <v>3072.8</v>
      </c>
      <c r="CB29" s="9">
        <v>18496</v>
      </c>
      <c r="CC29" s="9">
        <v>10122</v>
      </c>
      <c r="CD29" s="9">
        <v>9089.65</v>
      </c>
      <c r="CE29" s="9">
        <v>38170</v>
      </c>
      <c r="CF29" s="9">
        <v>3920</v>
      </c>
      <c r="CG29" s="9">
        <v>8990</v>
      </c>
      <c r="CH29" s="9">
        <v>50515</v>
      </c>
      <c r="CI29" s="9">
        <v>12250</v>
      </c>
      <c r="CJ29" s="9">
        <v>44200</v>
      </c>
      <c r="CK29" s="9">
        <v>20280</v>
      </c>
      <c r="CL29" s="9">
        <v>7969.8</v>
      </c>
      <c r="CM29" s="9">
        <v>18900</v>
      </c>
      <c r="CN29" s="9">
        <v>16900</v>
      </c>
      <c r="CO29" s="9">
        <v>20362.5</v>
      </c>
      <c r="CP29" s="9">
        <v>1760</v>
      </c>
      <c r="CQ29" s="9">
        <v>18412.56</v>
      </c>
      <c r="CR29" s="9">
        <v>20040</v>
      </c>
      <c r="CS29" s="9">
        <v>49824.24</v>
      </c>
      <c r="CT29" s="9">
        <v>52411.38</v>
      </c>
      <c r="CU29" s="9">
        <v>11932.1</v>
      </c>
      <c r="CV29" s="9">
        <v>54316</v>
      </c>
      <c r="CW29" s="9">
        <v>19866</v>
      </c>
      <c r="CX29" s="9">
        <v>105742</v>
      </c>
      <c r="CY29" s="9">
        <v>15770.86</v>
      </c>
      <c r="CZ29" s="9">
        <v>3898.6</v>
      </c>
      <c r="DA29" s="9">
        <v>1177.91</v>
      </c>
      <c r="DB29" s="9">
        <v>5642</v>
      </c>
      <c r="DC29" s="9">
        <v>11080</v>
      </c>
      <c r="DD29" s="9">
        <v>9541</v>
      </c>
      <c r="DE29" s="9">
        <v>5048</v>
      </c>
      <c r="DF29" s="9">
        <v>2597</v>
      </c>
      <c r="DG29" s="9">
        <v>1125</v>
      </c>
      <c r="DH29" s="9">
        <v>2268</v>
      </c>
      <c r="DI29" s="9">
        <v>1724</v>
      </c>
      <c r="DJ29" s="9">
        <v>27013</v>
      </c>
      <c r="DK29" s="9">
        <v>23284.8</v>
      </c>
      <c r="DL29" s="9">
        <v>19500</v>
      </c>
      <c r="DM29" s="9">
        <v>16585</v>
      </c>
      <c r="DN29" s="9">
        <v>3337.2</v>
      </c>
      <c r="DO29" s="9">
        <v>38515.2</v>
      </c>
      <c r="DP29" s="9">
        <v>18684</v>
      </c>
      <c r="DQ29" s="9">
        <v>3801</v>
      </c>
      <c r="DR29" s="9">
        <v>2187.9</v>
      </c>
      <c r="DS29" s="9">
        <v>1434</v>
      </c>
      <c r="DT29" s="9">
        <v>10637.1</v>
      </c>
      <c r="DU29" s="9">
        <v>6962.7</v>
      </c>
      <c r="DV29" s="9">
        <v>7171.7</v>
      </c>
      <c r="DW29" s="9">
        <v>322.82</v>
      </c>
      <c r="DX29" s="9">
        <v>2213.25</v>
      </c>
      <c r="DY29" s="9">
        <v>574</v>
      </c>
      <c r="DZ29" s="9">
        <v>14615</v>
      </c>
      <c r="EA29" s="9">
        <v>112</v>
      </c>
      <c r="EB29" s="9">
        <v>12850</v>
      </c>
      <c r="EC29" s="9">
        <v>5380</v>
      </c>
      <c r="ED29" s="9">
        <v>20844</v>
      </c>
      <c r="EE29" s="9">
        <v>78000</v>
      </c>
      <c r="EF29" s="9">
        <v>73712</v>
      </c>
      <c r="EG29" s="9">
        <v>31730</v>
      </c>
      <c r="EH29" s="9">
        <v>109032</v>
      </c>
      <c r="EI29" s="9">
        <v>26275</v>
      </c>
      <c r="EJ29" s="9">
        <v>33615</v>
      </c>
      <c r="EK29" s="9">
        <v>22476</v>
      </c>
      <c r="EL29" s="9">
        <v>2995.5</v>
      </c>
      <c r="EM29" s="9">
        <v>1863</v>
      </c>
      <c r="EN29" s="9">
        <v>1684</v>
      </c>
      <c r="EO29" s="9">
        <v>335.5</v>
      </c>
      <c r="EP29" s="9">
        <v>3739.1</v>
      </c>
      <c r="EQ29" s="9">
        <v>85694.7</v>
      </c>
      <c r="ER29" s="9">
        <v>25003.6</v>
      </c>
      <c r="ES29" s="9">
        <v>12510</v>
      </c>
      <c r="ET29" s="9">
        <v>3510</v>
      </c>
      <c r="EU29" s="9">
        <v>12302</v>
      </c>
      <c r="EV29" s="9">
        <v>9200</v>
      </c>
      <c r="EW29" s="9">
        <v>34688.04</v>
      </c>
      <c r="EX29" s="9">
        <v>880</v>
      </c>
      <c r="EY29" s="9">
        <v>31200</v>
      </c>
      <c r="EZ29" s="9">
        <v>3436</v>
      </c>
      <c r="FA29" s="9">
        <v>2939.4</v>
      </c>
      <c r="FB29" s="9">
        <v>4986.3</v>
      </c>
      <c r="FC29" s="9">
        <v>31396</v>
      </c>
      <c r="FD29" s="9">
        <v>23953.6</v>
      </c>
      <c r="FE29" s="9">
        <v>10560</v>
      </c>
      <c r="FF29" s="9">
        <v>10560</v>
      </c>
      <c r="FG29" s="9">
        <v>17002.8</v>
      </c>
      <c r="FH29" s="9">
        <v>493.8</v>
      </c>
      <c r="FI29" s="9">
        <v>23967.2</v>
      </c>
      <c r="FJ29" s="9">
        <v>7612.75</v>
      </c>
      <c r="FK29" s="9">
        <v>20664</v>
      </c>
      <c r="FL29" s="9">
        <v>10090</v>
      </c>
      <c r="FM29" s="9">
        <v>30330.8</v>
      </c>
      <c r="FN29" s="9">
        <v>16101.8</v>
      </c>
      <c r="FO29" s="9">
        <v>18817.8</v>
      </c>
      <c r="FP29" s="9">
        <v>1707.8</v>
      </c>
      <c r="FQ29" s="9">
        <v>5220</v>
      </c>
      <c r="FR29" s="9">
        <v>3007.2</v>
      </c>
      <c r="FS29" s="9">
        <v>11010</v>
      </c>
      <c r="FT29" s="9">
        <v>10560</v>
      </c>
      <c r="FU29" s="9">
        <v>24805</v>
      </c>
      <c r="FV29" s="9">
        <v>54562.5</v>
      </c>
      <c r="FW29" s="9">
        <v>35862</v>
      </c>
      <c r="FX29" s="9">
        <v>17415</v>
      </c>
      <c r="FY29" s="9">
        <v>69800</v>
      </c>
      <c r="FZ29" s="9">
        <v>15890.7</v>
      </c>
      <c r="GA29" s="9">
        <v>61272</v>
      </c>
      <c r="GB29" s="9">
        <v>153000</v>
      </c>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row>
    <row r="30" customHeight="true" spans="1:165">
      <c r="A30" s="5">
        <v>27</v>
      </c>
      <c r="B30" s="6" t="str">
        <f>'明细表（有误0'!C30</f>
        <v>天津市南翔板带有限公司</v>
      </c>
      <c r="D30" s="9">
        <v>27185.76</v>
      </c>
      <c r="E30" s="12">
        <f>SUM(F30:KR30)</f>
        <v>432109.81</v>
      </c>
      <c r="F30" s="9">
        <v>18148.2</v>
      </c>
      <c r="G30" s="9">
        <v>12994</v>
      </c>
      <c r="H30" s="9">
        <v>77130</v>
      </c>
      <c r="I30" s="9">
        <v>18600</v>
      </c>
      <c r="J30" s="9">
        <v>5844</v>
      </c>
      <c r="K30" s="9">
        <v>3600</v>
      </c>
      <c r="L30" s="9">
        <v>44896.32</v>
      </c>
      <c r="M30" s="9">
        <v>15980.95</v>
      </c>
      <c r="N30" s="9">
        <v>12294.09</v>
      </c>
      <c r="O30" s="9">
        <v>94254.68</v>
      </c>
      <c r="P30" s="9">
        <v>98301.97</v>
      </c>
      <c r="Q30" s="9">
        <v>8806.4</v>
      </c>
      <c r="R30" s="9">
        <v>21259.2</v>
      </c>
      <c r="V30" s="8"/>
      <c r="Z30" s="8"/>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row>
    <row r="31" customHeight="true" spans="1:166">
      <c r="A31" s="5">
        <v>28</v>
      </c>
      <c r="B31" s="6" t="str">
        <f>'明细表（有误0'!C31</f>
        <v>天津市永信国际贸易有限公司</v>
      </c>
      <c r="D31" s="9">
        <f>333441.71+5530</f>
        <v>338971.71</v>
      </c>
      <c r="E31" s="12">
        <f t="shared" si="1"/>
        <v>1677174.86</v>
      </c>
      <c r="F31" s="9">
        <v>142423.16</v>
      </c>
      <c r="G31" s="9">
        <v>51237.6</v>
      </c>
      <c r="H31" s="9">
        <v>17411.6</v>
      </c>
      <c r="I31" s="9">
        <v>34870.6</v>
      </c>
      <c r="J31" s="9">
        <v>34933.8</v>
      </c>
      <c r="K31" s="9">
        <v>34625.7</v>
      </c>
      <c r="L31" s="9">
        <v>34965.4</v>
      </c>
      <c r="M31" s="9">
        <v>69543.7</v>
      </c>
      <c r="N31" s="9">
        <v>69591.1</v>
      </c>
      <c r="O31" s="9">
        <v>31984.92</v>
      </c>
      <c r="P31" s="9">
        <v>34974.46</v>
      </c>
      <c r="Q31" s="9">
        <v>80524.42</v>
      </c>
      <c r="R31" s="9">
        <v>28009.13</v>
      </c>
      <c r="S31" s="9">
        <v>57594.2</v>
      </c>
      <c r="T31" s="9">
        <v>9837.35</v>
      </c>
      <c r="U31" s="9">
        <v>18744.36</v>
      </c>
      <c r="V31" s="9">
        <v>9547.75</v>
      </c>
      <c r="W31" s="8">
        <v>25551.77</v>
      </c>
      <c r="X31" s="9">
        <v>9846.4</v>
      </c>
      <c r="Y31" s="9">
        <v>802557.44</v>
      </c>
      <c r="Z31" s="9">
        <v>39200</v>
      </c>
      <c r="AA31" s="9">
        <v>39200</v>
      </c>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row>
    <row r="32" customHeight="true" spans="1:166">
      <c r="A32" s="5">
        <v>29</v>
      </c>
      <c r="B32" s="6" t="str">
        <f>'明细表（有误0'!C32</f>
        <v>天津凯杰国际贸易有限公司</v>
      </c>
      <c r="D32" s="9"/>
      <c r="E32" s="12">
        <f t="shared" si="1"/>
        <v>0</v>
      </c>
      <c r="F32" s="9"/>
      <c r="G32" s="9"/>
      <c r="H32" s="9"/>
      <c r="I32" s="9"/>
      <c r="J32" s="9"/>
      <c r="K32" s="9"/>
      <c r="L32" s="9"/>
      <c r="M32" s="9"/>
      <c r="N32" s="9"/>
      <c r="O32" s="9"/>
      <c r="W32" s="8"/>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row>
    <row r="33" customHeight="true" spans="1:298">
      <c r="A33" s="5">
        <v>30</v>
      </c>
      <c r="B33" s="6" t="str">
        <f>'明细表（有误0'!C33</f>
        <v>深之蓝（天津）水下智能科技有限公司</v>
      </c>
      <c r="D33" s="9"/>
      <c r="E33" s="12">
        <f t="shared" si="1"/>
        <v>4808382.5</v>
      </c>
      <c r="F33" s="9">
        <v>12577.92</v>
      </c>
      <c r="G33" s="9">
        <v>11097.6</v>
      </c>
      <c r="H33" s="9">
        <v>99200</v>
      </c>
      <c r="I33" s="9">
        <v>33120</v>
      </c>
      <c r="J33" s="9">
        <v>18000</v>
      </c>
      <c r="K33" s="9">
        <v>1728</v>
      </c>
      <c r="L33" s="9">
        <v>450</v>
      </c>
      <c r="M33" s="9">
        <v>1120</v>
      </c>
      <c r="N33" s="9">
        <v>495</v>
      </c>
      <c r="O33" s="9">
        <v>220</v>
      </c>
      <c r="P33" s="9">
        <v>160</v>
      </c>
      <c r="Q33" s="9">
        <v>765</v>
      </c>
      <c r="R33" s="9">
        <v>660</v>
      </c>
      <c r="S33" s="9">
        <v>840</v>
      </c>
      <c r="T33" s="9">
        <v>975</v>
      </c>
      <c r="U33" s="9">
        <v>40.74</v>
      </c>
      <c r="V33" s="9">
        <v>8.74</v>
      </c>
      <c r="W33" s="9">
        <v>300</v>
      </c>
      <c r="X33" s="8">
        <v>4116</v>
      </c>
      <c r="Y33" s="9">
        <v>41250</v>
      </c>
      <c r="Z33" s="9">
        <v>69312</v>
      </c>
      <c r="AA33" s="9">
        <v>19840</v>
      </c>
      <c r="AB33" s="9">
        <v>2424</v>
      </c>
      <c r="AC33" s="9">
        <v>910</v>
      </c>
      <c r="AD33" s="9">
        <v>2604</v>
      </c>
      <c r="AE33" s="9">
        <v>560</v>
      </c>
      <c r="AF33" s="9">
        <v>1600</v>
      </c>
      <c r="AG33" s="9">
        <v>8944</v>
      </c>
      <c r="AH33" s="9">
        <v>242</v>
      </c>
      <c r="AI33" s="9">
        <v>171</v>
      </c>
      <c r="AJ33" s="9">
        <v>225</v>
      </c>
      <c r="AK33" s="9">
        <v>295</v>
      </c>
      <c r="AL33" s="9">
        <v>184</v>
      </c>
      <c r="AM33" s="9">
        <v>48</v>
      </c>
      <c r="AN33" s="9">
        <v>115</v>
      </c>
      <c r="AO33" s="9">
        <v>36936</v>
      </c>
      <c r="AP33" s="9">
        <v>2448</v>
      </c>
      <c r="AQ33" s="9">
        <v>1950</v>
      </c>
      <c r="AR33" s="9">
        <v>8064</v>
      </c>
      <c r="AS33" s="9">
        <v>435</v>
      </c>
      <c r="AT33" s="9">
        <v>61425</v>
      </c>
      <c r="AU33" s="9">
        <v>34560</v>
      </c>
      <c r="AV33" s="9">
        <v>13824</v>
      </c>
      <c r="AW33" s="9">
        <v>15552</v>
      </c>
      <c r="AX33" s="9">
        <v>42525</v>
      </c>
      <c r="AY33" s="9">
        <v>82080</v>
      </c>
      <c r="AZ33" s="9">
        <v>39680</v>
      </c>
      <c r="BA33" s="9">
        <v>9405</v>
      </c>
      <c r="BB33" s="9">
        <v>36936</v>
      </c>
      <c r="BC33" s="9">
        <v>49600</v>
      </c>
      <c r="BD33" s="9">
        <v>6336</v>
      </c>
      <c r="BE33" s="9">
        <v>4212</v>
      </c>
      <c r="BF33" s="9">
        <v>680</v>
      </c>
      <c r="BG33" s="9">
        <v>560</v>
      </c>
      <c r="BH33" s="9">
        <v>978</v>
      </c>
      <c r="BI33" s="9">
        <v>387</v>
      </c>
      <c r="BJ33" s="9">
        <v>145</v>
      </c>
      <c r="BK33" s="9">
        <v>630</v>
      </c>
      <c r="BL33" s="9">
        <v>188</v>
      </c>
      <c r="BM33" s="9">
        <v>195</v>
      </c>
      <c r="BN33" s="9">
        <v>29.5</v>
      </c>
      <c r="BO33" s="9">
        <v>22.3</v>
      </c>
      <c r="BP33" s="9">
        <v>174</v>
      </c>
      <c r="BQ33" s="9">
        <v>184</v>
      </c>
      <c r="BR33" s="9">
        <v>242</v>
      </c>
      <c r="BS33" s="9">
        <v>355</v>
      </c>
      <c r="BT33" s="9">
        <v>242</v>
      </c>
      <c r="BU33" s="9">
        <v>225</v>
      </c>
      <c r="BV33" s="9">
        <v>242</v>
      </c>
      <c r="BW33" s="9">
        <v>279</v>
      </c>
      <c r="BX33" s="9">
        <v>13</v>
      </c>
      <c r="BY33" s="9">
        <v>463</v>
      </c>
      <c r="BZ33" s="9">
        <v>51</v>
      </c>
      <c r="CA33" s="9">
        <v>242</v>
      </c>
      <c r="CB33" s="9">
        <v>171</v>
      </c>
      <c r="CC33" s="9">
        <v>355</v>
      </c>
      <c r="CD33" s="9">
        <v>34</v>
      </c>
      <c r="CE33" s="9">
        <v>188</v>
      </c>
      <c r="CF33" s="9">
        <v>9600</v>
      </c>
      <c r="CG33" s="9">
        <v>5600</v>
      </c>
      <c r="CH33" s="9">
        <v>6150</v>
      </c>
      <c r="CI33" s="9">
        <v>6776</v>
      </c>
      <c r="CJ33" s="9">
        <v>840</v>
      </c>
      <c r="CK33" s="9">
        <v>680</v>
      </c>
      <c r="CL33" s="9">
        <v>2140</v>
      </c>
      <c r="CM33" s="9">
        <v>450</v>
      </c>
      <c r="CN33" s="9">
        <v>9216</v>
      </c>
      <c r="CO33" s="9">
        <v>2400</v>
      </c>
      <c r="CP33" s="9">
        <v>30780</v>
      </c>
      <c r="CQ33" s="9">
        <v>69120</v>
      </c>
      <c r="CR33" s="9">
        <v>44100</v>
      </c>
      <c r="CS33" s="9">
        <v>2968.2</v>
      </c>
      <c r="CT33" s="9">
        <v>2094</v>
      </c>
      <c r="CU33" s="9">
        <v>1090</v>
      </c>
      <c r="CV33" s="9">
        <v>1144.8</v>
      </c>
      <c r="CW33" s="9">
        <v>5797</v>
      </c>
      <c r="CX33" s="9">
        <v>920</v>
      </c>
      <c r="CY33" s="9">
        <v>774</v>
      </c>
      <c r="CZ33" s="9">
        <v>1246</v>
      </c>
      <c r="DA33" s="9">
        <v>697</v>
      </c>
      <c r="DB33" s="9">
        <v>226</v>
      </c>
      <c r="DC33" s="9">
        <v>808</v>
      </c>
      <c r="DD33" s="9">
        <v>78</v>
      </c>
      <c r="DE33" s="9">
        <v>82</v>
      </c>
      <c r="DF33" s="9">
        <v>3780</v>
      </c>
      <c r="DG33" s="9">
        <v>7440</v>
      </c>
      <c r="DH33" s="9">
        <v>3780</v>
      </c>
      <c r="DI33" s="9">
        <v>20736</v>
      </c>
      <c r="DJ33" s="9">
        <v>18144</v>
      </c>
      <c r="DK33" s="9">
        <v>28350</v>
      </c>
      <c r="DL33" s="9">
        <v>86400</v>
      </c>
      <c r="DM33" s="9">
        <v>39680</v>
      </c>
      <c r="DN33" s="9">
        <v>23856</v>
      </c>
      <c r="DO33" s="9">
        <v>46.1</v>
      </c>
      <c r="DP33" s="9">
        <v>2196</v>
      </c>
      <c r="DQ33" s="9">
        <v>12320</v>
      </c>
      <c r="DR33" s="9">
        <v>800</v>
      </c>
      <c r="DS33" s="9">
        <v>15120</v>
      </c>
      <c r="DT33" s="9">
        <v>51840</v>
      </c>
      <c r="DU33" s="9">
        <v>41580</v>
      </c>
      <c r="DV33" s="9">
        <v>47250</v>
      </c>
      <c r="DW33" s="9">
        <v>19840</v>
      </c>
      <c r="DX33" s="9">
        <v>19008</v>
      </c>
      <c r="DY33" s="9">
        <v>36288</v>
      </c>
      <c r="DZ33" s="9">
        <v>83328</v>
      </c>
      <c r="EA33" s="9">
        <v>8316</v>
      </c>
      <c r="EB33" s="9">
        <v>336</v>
      </c>
      <c r="EC33" s="9">
        <v>18900</v>
      </c>
      <c r="ED33" s="9">
        <v>49600</v>
      </c>
      <c r="EE33" s="9">
        <v>2966</v>
      </c>
      <c r="EF33" s="9">
        <v>4480</v>
      </c>
      <c r="EG33" s="9">
        <v>2770</v>
      </c>
      <c r="EH33" s="9">
        <v>1600</v>
      </c>
      <c r="EI33" s="9">
        <v>7100</v>
      </c>
      <c r="EJ33" s="9">
        <v>1936</v>
      </c>
      <c r="EK33" s="9">
        <v>890</v>
      </c>
      <c r="EL33" s="9">
        <v>190</v>
      </c>
      <c r="EM33" s="9">
        <v>270</v>
      </c>
      <c r="EN33" s="9">
        <v>1600</v>
      </c>
      <c r="EO33" s="9">
        <v>220</v>
      </c>
      <c r="EP33" s="9">
        <v>202</v>
      </c>
      <c r="EQ33" s="9">
        <v>427.98</v>
      </c>
      <c r="ER33" s="9">
        <v>294</v>
      </c>
      <c r="ES33" s="9">
        <v>458</v>
      </c>
      <c r="ET33" s="9">
        <v>1642.02</v>
      </c>
      <c r="EU33" s="9">
        <v>280</v>
      </c>
      <c r="EV33" s="9">
        <v>2589</v>
      </c>
      <c r="EW33" s="9">
        <v>2995</v>
      </c>
      <c r="EX33" s="9">
        <v>58.5</v>
      </c>
      <c r="EY33" s="9">
        <v>141</v>
      </c>
      <c r="EZ33" s="9">
        <v>75</v>
      </c>
      <c r="FA33" s="9">
        <v>16.5</v>
      </c>
      <c r="FB33" s="9">
        <v>1450</v>
      </c>
      <c r="FC33" s="9">
        <v>540</v>
      </c>
      <c r="FD33" s="9">
        <v>296</v>
      </c>
      <c r="FE33" s="9">
        <v>360</v>
      </c>
      <c r="FF33" s="9">
        <v>126480</v>
      </c>
      <c r="FG33" s="9">
        <v>11232</v>
      </c>
      <c r="FH33" s="9">
        <v>2400</v>
      </c>
      <c r="FI33" s="9">
        <v>2112</v>
      </c>
      <c r="FJ33" s="9">
        <v>3420</v>
      </c>
      <c r="FK33" s="9">
        <v>59760</v>
      </c>
      <c r="FL33" s="9">
        <v>59640</v>
      </c>
      <c r="FM33" s="9">
        <v>11232</v>
      </c>
      <c r="FN33" s="9">
        <v>14112</v>
      </c>
      <c r="FO33" s="9">
        <v>6048</v>
      </c>
      <c r="FP33" s="9">
        <v>7392</v>
      </c>
      <c r="FQ33" s="9">
        <v>4700</v>
      </c>
      <c r="FR33" s="9">
        <v>396</v>
      </c>
      <c r="FS33" s="9">
        <v>2880</v>
      </c>
      <c r="FT33" s="9">
        <v>67500</v>
      </c>
      <c r="FU33" s="9">
        <v>13608</v>
      </c>
      <c r="FV33" s="9">
        <v>42768</v>
      </c>
      <c r="FW33" s="9">
        <v>70470</v>
      </c>
      <c r="FX33" s="9">
        <v>115320.2</v>
      </c>
      <c r="FY33" s="9">
        <v>55080</v>
      </c>
      <c r="FZ33" s="9">
        <v>167427</v>
      </c>
      <c r="GA33" s="9">
        <v>4628</v>
      </c>
      <c r="GB33" s="9">
        <v>258</v>
      </c>
      <c r="GC33" s="9">
        <v>522</v>
      </c>
      <c r="GD33" s="9">
        <v>1153</v>
      </c>
      <c r="GE33" s="9">
        <v>218</v>
      </c>
      <c r="GF33" s="9">
        <v>180</v>
      </c>
      <c r="GG33" s="9">
        <v>1850</v>
      </c>
      <c r="GH33" s="9">
        <v>480</v>
      </c>
      <c r="GI33" s="9">
        <v>368</v>
      </c>
      <c r="GJ33" s="9">
        <v>108</v>
      </c>
      <c r="GK33" s="9">
        <v>28</v>
      </c>
      <c r="GL33" s="9">
        <v>52920</v>
      </c>
      <c r="GM33" s="9">
        <v>22583.52</v>
      </c>
      <c r="GN33" s="9">
        <v>60480</v>
      </c>
      <c r="GO33" s="9">
        <v>22583.52</v>
      </c>
      <c r="GP33" s="9">
        <v>13440</v>
      </c>
      <c r="GQ33" s="9">
        <v>2980</v>
      </c>
      <c r="GR33" s="9">
        <v>192</v>
      </c>
      <c r="GS33" s="9">
        <v>542</v>
      </c>
      <c r="GT33" s="9">
        <v>436</v>
      </c>
      <c r="GU33" s="9">
        <v>119</v>
      </c>
      <c r="GV33" s="9">
        <v>3965</v>
      </c>
      <c r="GW33" s="9">
        <v>12312</v>
      </c>
      <c r="GX33" s="9">
        <v>51840</v>
      </c>
      <c r="GY33" s="9">
        <v>22583.52</v>
      </c>
      <c r="GZ33" s="9">
        <v>49600</v>
      </c>
      <c r="HA33" s="9">
        <v>8606.64</v>
      </c>
      <c r="HB33" s="9">
        <v>45167.04</v>
      </c>
      <c r="HC33" s="9">
        <v>9072</v>
      </c>
      <c r="HD33" s="9">
        <v>39168</v>
      </c>
      <c r="HE33" s="9">
        <v>432</v>
      </c>
      <c r="HF33" s="9">
        <v>470</v>
      </c>
      <c r="HG33" s="9">
        <v>60</v>
      </c>
      <c r="HH33" s="9">
        <v>80</v>
      </c>
      <c r="HI33" s="9">
        <v>60</v>
      </c>
      <c r="HJ33" s="9">
        <v>59520</v>
      </c>
      <c r="HK33" s="9">
        <v>53550</v>
      </c>
      <c r="HL33" s="9">
        <v>8316</v>
      </c>
      <c r="HM33" s="9">
        <v>1350</v>
      </c>
      <c r="HN33" s="9">
        <v>2880</v>
      </c>
      <c r="HO33" s="9">
        <v>54</v>
      </c>
      <c r="HP33" s="9">
        <v>54</v>
      </c>
      <c r="HQ33" s="9">
        <v>54</v>
      </c>
      <c r="HR33" s="9">
        <v>527</v>
      </c>
      <c r="HS33" s="9">
        <v>9120</v>
      </c>
      <c r="HT33" s="9">
        <v>43200</v>
      </c>
      <c r="HU33" s="9">
        <v>20736</v>
      </c>
      <c r="HV33" s="9">
        <v>18144</v>
      </c>
      <c r="HW33" s="9">
        <v>5850</v>
      </c>
      <c r="HX33" s="9">
        <v>22583.52</v>
      </c>
      <c r="HY33" s="9">
        <v>8606.64</v>
      </c>
      <c r="HZ33" s="9">
        <v>70470</v>
      </c>
      <c r="IA33" s="9">
        <v>15200</v>
      </c>
      <c r="IB33" s="9">
        <v>69120</v>
      </c>
      <c r="IC33" s="9">
        <v>60480</v>
      </c>
      <c r="ID33" s="9">
        <v>40320</v>
      </c>
      <c r="IE33" s="9">
        <v>20736</v>
      </c>
      <c r="IF33" s="9">
        <v>18144</v>
      </c>
      <c r="IG33" s="9">
        <v>45360</v>
      </c>
      <c r="IH33" s="9">
        <v>24624</v>
      </c>
      <c r="II33" s="9">
        <v>2600</v>
      </c>
      <c r="IJ33" s="9">
        <v>200</v>
      </c>
      <c r="IK33" s="9">
        <v>4450</v>
      </c>
      <c r="IL33" s="9">
        <v>1320</v>
      </c>
      <c r="IM33" s="9">
        <v>200</v>
      </c>
      <c r="IN33" s="9">
        <v>69120</v>
      </c>
      <c r="IO33" s="9">
        <v>69120</v>
      </c>
      <c r="IP33" s="9">
        <v>75285</v>
      </c>
      <c r="IQ33" s="9">
        <v>60480</v>
      </c>
      <c r="IR33" s="9">
        <v>24570</v>
      </c>
      <c r="IS33" s="9">
        <v>9920</v>
      </c>
      <c r="IT33" s="9">
        <v>15708</v>
      </c>
      <c r="IU33" s="9">
        <v>17280</v>
      </c>
      <c r="IV33" s="9">
        <v>75600</v>
      </c>
      <c r="IW33" s="9">
        <v>18900</v>
      </c>
      <c r="IX33" s="9">
        <v>59640</v>
      </c>
      <c r="IY33" s="9">
        <v>21105</v>
      </c>
      <c r="IZ33" s="9">
        <v>15120</v>
      </c>
      <c r="JA33" s="9">
        <v>994</v>
      </c>
      <c r="JB33" s="9">
        <v>18144</v>
      </c>
      <c r="JC33" s="9">
        <v>69300</v>
      </c>
      <c r="JD33" s="9">
        <v>4970</v>
      </c>
      <c r="JE33" s="9">
        <v>2160</v>
      </c>
      <c r="JF33" s="9">
        <v>560</v>
      </c>
      <c r="JG33" s="9">
        <v>1200</v>
      </c>
      <c r="JH33" s="9">
        <v>56700</v>
      </c>
      <c r="JI33" s="9">
        <v>23856</v>
      </c>
      <c r="JJ33" s="9">
        <v>59640</v>
      </c>
      <c r="JK33" s="9">
        <v>17856</v>
      </c>
      <c r="JL33" s="9">
        <v>25920</v>
      </c>
      <c r="JM33" s="9">
        <v>10296</v>
      </c>
      <c r="JN33" s="9">
        <v>24192</v>
      </c>
      <c r="JO33" s="9">
        <v>10368</v>
      </c>
      <c r="JP33" s="9">
        <v>66150</v>
      </c>
      <c r="JQ33" s="9">
        <v>41472</v>
      </c>
      <c r="JR33" s="9">
        <v>3240</v>
      </c>
      <c r="JS33" s="9">
        <v>26341</v>
      </c>
      <c r="JT33" s="9">
        <v>850</v>
      </c>
      <c r="JU33" s="9">
        <v>24480</v>
      </c>
      <c r="JV33" s="9">
        <v>11904</v>
      </c>
      <c r="JW33" s="9">
        <v>42120</v>
      </c>
      <c r="JX33" s="9">
        <v>27</v>
      </c>
      <c r="JY33" s="9">
        <v>15000</v>
      </c>
      <c r="JZ33" s="9">
        <v>59520</v>
      </c>
      <c r="KA33" s="9">
        <v>5616</v>
      </c>
      <c r="KB33" s="9">
        <v>14112</v>
      </c>
      <c r="KC33" s="9">
        <v>24320</v>
      </c>
      <c r="KD33" s="9">
        <v>36936</v>
      </c>
      <c r="KE33" s="9">
        <v>5850</v>
      </c>
      <c r="KF33" s="9">
        <v>650</v>
      </c>
      <c r="KG33" s="9">
        <v>2160</v>
      </c>
      <c r="KH33" s="9"/>
      <c r="KI33" s="9"/>
      <c r="KJ33" s="9"/>
      <c r="KK33" s="9"/>
      <c r="KL33" s="9"/>
    </row>
    <row r="34" customHeight="true" spans="1:298">
      <c r="A34" s="5">
        <v>31</v>
      </c>
      <c r="B34" s="6" t="str">
        <f>'明细表（有误0'!C34</f>
        <v>天津商泽外贸综合服务有限公司</v>
      </c>
      <c r="D34" s="9"/>
      <c r="E34" s="13">
        <f t="shared" si="1"/>
        <v>180</v>
      </c>
      <c r="F34" s="9">
        <v>180</v>
      </c>
      <c r="G34" s="9"/>
      <c r="H34" s="9"/>
      <c r="I34" s="9"/>
      <c r="J34" s="9"/>
      <c r="K34" s="9"/>
      <c r="L34" s="9"/>
      <c r="M34" s="9"/>
      <c r="N34" s="9"/>
      <c r="O34" s="9"/>
      <c r="X34" s="8"/>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c r="JJ34" s="9"/>
      <c r="JK34" s="9"/>
      <c r="JL34" s="9"/>
      <c r="JM34" s="9"/>
      <c r="JN34" s="9"/>
      <c r="JO34" s="9"/>
      <c r="JP34" s="9"/>
      <c r="JQ34" s="9"/>
      <c r="JR34" s="9"/>
      <c r="JS34" s="9"/>
      <c r="JT34" s="9"/>
      <c r="JU34" s="9"/>
      <c r="JV34" s="9"/>
      <c r="JW34" s="9"/>
      <c r="JX34" s="9"/>
      <c r="JY34" s="9"/>
      <c r="JZ34" s="9"/>
      <c r="KA34" s="9"/>
      <c r="KB34" s="9"/>
      <c r="KC34" s="9"/>
      <c r="KD34" s="9"/>
      <c r="KE34" s="9"/>
      <c r="KF34" s="9"/>
      <c r="KG34" s="9"/>
      <c r="KH34" s="9"/>
      <c r="KI34" s="9"/>
      <c r="KJ34" s="9"/>
      <c r="KK34" s="9"/>
      <c r="KL34" s="9"/>
    </row>
    <row r="35" customHeight="true" spans="1:241">
      <c r="A35" s="5">
        <v>32</v>
      </c>
      <c r="B35" s="6" t="str">
        <f>'明细表（有误0'!C35</f>
        <v>天津市普光医用材料制造有限公司</v>
      </c>
      <c r="D35" s="9">
        <v>88238.16</v>
      </c>
      <c r="E35" s="12">
        <f t="shared" si="1"/>
        <v>3161254.55</v>
      </c>
      <c r="F35" s="9">
        <v>10429.9</v>
      </c>
      <c r="G35" s="9">
        <v>35102.64</v>
      </c>
      <c r="H35" s="9">
        <v>2645.5</v>
      </c>
      <c r="I35" s="9">
        <v>15300</v>
      </c>
      <c r="J35" s="9">
        <v>31800</v>
      </c>
      <c r="K35" s="9">
        <v>5322.24</v>
      </c>
      <c r="L35" s="9">
        <v>9885.24</v>
      </c>
      <c r="M35" s="9">
        <v>57600</v>
      </c>
      <c r="N35" s="9">
        <v>57600</v>
      </c>
      <c r="O35" s="9">
        <v>4561.92</v>
      </c>
      <c r="P35" s="9">
        <v>6842.88</v>
      </c>
      <c r="Q35" s="9">
        <v>12160</v>
      </c>
      <c r="R35" s="9">
        <v>19434.24</v>
      </c>
      <c r="S35" s="9">
        <v>345.6</v>
      </c>
      <c r="T35" s="9">
        <v>10987.2</v>
      </c>
      <c r="U35" s="9">
        <v>25381.51</v>
      </c>
      <c r="V35" s="9">
        <v>10987.2</v>
      </c>
      <c r="W35" s="9">
        <v>8083.4</v>
      </c>
      <c r="X35" s="9">
        <v>30600</v>
      </c>
      <c r="Y35" s="9">
        <v>7125</v>
      </c>
      <c r="Z35" s="9">
        <v>21420</v>
      </c>
      <c r="AA35" s="9">
        <v>20920</v>
      </c>
      <c r="AB35" s="9">
        <v>25411.8</v>
      </c>
      <c r="AC35" s="9">
        <v>41644.8</v>
      </c>
      <c r="AD35" s="9">
        <v>2150</v>
      </c>
      <c r="AE35" s="9">
        <v>1164.8</v>
      </c>
      <c r="AF35" s="9">
        <v>6885</v>
      </c>
      <c r="AG35" s="9">
        <v>9486</v>
      </c>
      <c r="AH35" s="9">
        <v>27446.28</v>
      </c>
      <c r="AI35" s="9">
        <v>1264.8</v>
      </c>
      <c r="AJ35" s="9">
        <v>9486</v>
      </c>
      <c r="AK35" s="9">
        <v>12396</v>
      </c>
      <c r="AL35" s="9">
        <v>19434.24</v>
      </c>
      <c r="AM35" s="9">
        <v>28155.82</v>
      </c>
      <c r="AN35" s="9">
        <v>40464</v>
      </c>
      <c r="AO35" s="9">
        <v>4561.92</v>
      </c>
      <c r="AP35" s="9">
        <v>5387.2</v>
      </c>
      <c r="AQ35" s="9">
        <v>8975.83</v>
      </c>
      <c r="AR35" s="9">
        <v>73617.42</v>
      </c>
      <c r="AS35" s="9">
        <v>34563.39</v>
      </c>
      <c r="AT35" s="9">
        <v>56760.8</v>
      </c>
      <c r="AU35" s="9">
        <v>10987.2</v>
      </c>
      <c r="AV35" s="9">
        <v>3924</v>
      </c>
      <c r="AW35" s="9">
        <v>3513.6</v>
      </c>
      <c r="AX35" s="9">
        <v>10664.5</v>
      </c>
      <c r="AY35" s="9">
        <v>4214.4</v>
      </c>
      <c r="AZ35" s="9">
        <v>54458.88</v>
      </c>
      <c r="BA35" s="9">
        <v>6441.6</v>
      </c>
      <c r="BB35" s="9">
        <v>62329.89</v>
      </c>
      <c r="BC35" s="9">
        <v>14590.51</v>
      </c>
      <c r="BD35" s="9">
        <v>20550.43</v>
      </c>
      <c r="BE35" s="9">
        <v>5105.51</v>
      </c>
      <c r="BF35" s="9">
        <v>20924.4</v>
      </c>
      <c r="BG35" s="9">
        <v>42544.44</v>
      </c>
      <c r="BH35" s="9">
        <v>23512.5</v>
      </c>
      <c r="BI35" s="9">
        <v>40800</v>
      </c>
      <c r="BJ35" s="9">
        <v>20535</v>
      </c>
      <c r="BK35" s="9">
        <v>10987.2</v>
      </c>
      <c r="BL35" s="9">
        <v>3047</v>
      </c>
      <c r="BM35" s="9">
        <v>2633.09</v>
      </c>
      <c r="BN35" s="9">
        <v>2619.6</v>
      </c>
      <c r="BO35" s="9">
        <v>53497</v>
      </c>
      <c r="BP35" s="9">
        <v>4958.4</v>
      </c>
      <c r="BQ35" s="9">
        <v>10188.8</v>
      </c>
      <c r="BR35" s="9">
        <v>12750</v>
      </c>
      <c r="BS35" s="9">
        <v>76071.6</v>
      </c>
      <c r="BT35" s="9">
        <v>63591</v>
      </c>
      <c r="BU35" s="9">
        <v>51846.6</v>
      </c>
      <c r="BV35" s="9">
        <v>72834.96</v>
      </c>
      <c r="BW35" s="9">
        <v>6885</v>
      </c>
      <c r="BX35" s="9">
        <v>5186.56</v>
      </c>
      <c r="BY35" s="9">
        <v>6842.88</v>
      </c>
      <c r="BZ35" s="9">
        <v>2342.4</v>
      </c>
      <c r="CA35" s="9">
        <v>58933.5</v>
      </c>
      <c r="CB35" s="9">
        <v>53497</v>
      </c>
      <c r="CC35" s="9">
        <v>13372.8</v>
      </c>
      <c r="CD35" s="9">
        <v>20822.4</v>
      </c>
      <c r="CE35" s="9">
        <v>14103.6</v>
      </c>
      <c r="CF35" s="9">
        <v>10987.2</v>
      </c>
      <c r="CG35" s="9">
        <v>6399.84</v>
      </c>
      <c r="CH35" s="9">
        <v>21044.25</v>
      </c>
      <c r="CI35" s="9">
        <v>9527.84</v>
      </c>
      <c r="CJ35" s="9">
        <v>2280.96</v>
      </c>
      <c r="CK35" s="9">
        <v>14126.4</v>
      </c>
      <c r="CL35" s="9">
        <v>13372.8</v>
      </c>
      <c r="CM35" s="9">
        <v>8462.16</v>
      </c>
      <c r="CN35" s="9">
        <v>6885</v>
      </c>
      <c r="CO35" s="9">
        <v>1571.76</v>
      </c>
      <c r="CP35" s="9">
        <v>8934.66</v>
      </c>
      <c r="CQ35" s="9">
        <v>72739.16</v>
      </c>
      <c r="CR35" s="9">
        <v>5641.44</v>
      </c>
      <c r="CS35" s="9">
        <v>26745.6</v>
      </c>
      <c r="CT35" s="9">
        <v>12012</v>
      </c>
      <c r="CU35" s="9">
        <v>3043</v>
      </c>
      <c r="CV35" s="9">
        <v>6800</v>
      </c>
      <c r="CW35" s="9">
        <v>5020</v>
      </c>
      <c r="CX35" s="9">
        <v>53497</v>
      </c>
      <c r="CY35" s="9">
        <v>53444.38</v>
      </c>
      <c r="CZ35" s="9">
        <v>10849.23</v>
      </c>
      <c r="DA35" s="9">
        <v>9572.85</v>
      </c>
      <c r="DB35" s="9">
        <v>5787.6</v>
      </c>
      <c r="DC35" s="9">
        <v>46130.2</v>
      </c>
      <c r="DD35" s="9">
        <v>46130.2</v>
      </c>
      <c r="DE35" s="9">
        <v>2100</v>
      </c>
      <c r="DF35" s="9">
        <v>14103.6</v>
      </c>
      <c r="DG35" s="9">
        <v>3513.6</v>
      </c>
      <c r="DH35" s="9">
        <v>20822.4</v>
      </c>
      <c r="DI35" s="9">
        <v>4561.92</v>
      </c>
      <c r="DJ35" s="9">
        <v>117867</v>
      </c>
      <c r="DK35" s="9">
        <v>5218.38</v>
      </c>
      <c r="DL35" s="9">
        <v>36436.4</v>
      </c>
      <c r="DM35" s="9">
        <v>21700</v>
      </c>
      <c r="DN35" s="9">
        <v>42660.48</v>
      </c>
      <c r="DO35" s="9">
        <v>17231.13</v>
      </c>
      <c r="DP35" s="9">
        <v>2639.95</v>
      </c>
      <c r="DQ35" s="9">
        <v>4232.8</v>
      </c>
      <c r="DR35" s="9">
        <v>2280.96</v>
      </c>
      <c r="DS35" s="9">
        <v>5653.8</v>
      </c>
      <c r="DT35" s="9">
        <v>2280.96</v>
      </c>
      <c r="DU35" s="9">
        <v>14103.6</v>
      </c>
      <c r="DV35" s="9">
        <v>14103.6</v>
      </c>
      <c r="DW35" s="9">
        <v>16963.2</v>
      </c>
      <c r="DX35" s="9">
        <v>10987.2</v>
      </c>
      <c r="DY35" s="9">
        <v>20822.4</v>
      </c>
      <c r="DZ35" s="9">
        <v>30343.44</v>
      </c>
      <c r="EA35" s="9">
        <v>36851.1</v>
      </c>
      <c r="EB35" s="9">
        <v>2280.96</v>
      </c>
      <c r="EC35" s="9">
        <v>12556.8</v>
      </c>
      <c r="ED35" s="9">
        <v>16491</v>
      </c>
      <c r="EE35" s="9">
        <v>2645.5</v>
      </c>
      <c r="EF35" s="9">
        <v>2065.5</v>
      </c>
      <c r="EG35" s="9">
        <v>20822.4</v>
      </c>
      <c r="EH35" s="9">
        <v>3050</v>
      </c>
      <c r="EI35" s="9">
        <v>15436.4</v>
      </c>
      <c r="EJ35" s="9">
        <v>6985.44</v>
      </c>
      <c r="EK35" s="9">
        <v>7203.6</v>
      </c>
      <c r="EL35" s="9">
        <v>21340</v>
      </c>
      <c r="EM35" s="9">
        <v>48896</v>
      </c>
      <c r="EN35" s="9">
        <v>4656.96</v>
      </c>
      <c r="EO35" s="9">
        <v>11179.2</v>
      </c>
      <c r="EP35" s="9">
        <v>3843.56</v>
      </c>
      <c r="EQ35" s="9">
        <v>4392.64</v>
      </c>
      <c r="ER35" s="9">
        <v>51846.6</v>
      </c>
      <c r="ES35" s="9">
        <v>15145.9</v>
      </c>
      <c r="ET35" s="9">
        <v>4656.96</v>
      </c>
      <c r="EU35" s="9">
        <v>832</v>
      </c>
      <c r="EV35" s="9">
        <v>6097.7</v>
      </c>
      <c r="EW35" s="9">
        <v>19827.36</v>
      </c>
      <c r="EX35" s="9">
        <v>1820</v>
      </c>
      <c r="EY35" s="9">
        <v>9313.92</v>
      </c>
      <c r="EZ35" s="9">
        <v>3201.6</v>
      </c>
      <c r="FA35" s="9">
        <v>8004</v>
      </c>
      <c r="FB35" s="9">
        <v>7138.04</v>
      </c>
      <c r="FC35" s="9">
        <v>117867</v>
      </c>
      <c r="FD35" s="9">
        <v>2328.48</v>
      </c>
      <c r="FE35" s="9">
        <v>21243.6</v>
      </c>
      <c r="FF35" s="9">
        <v>1404</v>
      </c>
      <c r="FG35" s="9">
        <v>27012.6</v>
      </c>
      <c r="FH35" s="9">
        <v>16037</v>
      </c>
      <c r="FI35" s="9">
        <v>44592.6</v>
      </c>
      <c r="FJ35" s="9">
        <v>4656.96</v>
      </c>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row>
    <row r="36" customHeight="true" spans="1:212">
      <c r="A36" s="5">
        <v>33</v>
      </c>
      <c r="B36" s="6" t="str">
        <f>'明细表（有误0'!C36</f>
        <v>天津丝绸进出口股份有限公司</v>
      </c>
      <c r="C36" s="9"/>
      <c r="D36" s="9">
        <f>26112+5100+8650+11824+6137.7+14573+20601.1+3187.5+8592.99+6054.75+17227+16666+24926+24354+25168+28135.8+7510+291.6+19299</f>
        <v>274410.44</v>
      </c>
      <c r="E36" s="12">
        <f t="shared" si="1"/>
        <v>7490168.58</v>
      </c>
      <c r="F36" s="9">
        <v>9052.5</v>
      </c>
      <c r="G36" s="9">
        <v>3036</v>
      </c>
      <c r="H36" s="9">
        <v>4725</v>
      </c>
      <c r="I36" s="9">
        <v>383636.55</v>
      </c>
      <c r="J36" s="9">
        <v>147932.55</v>
      </c>
      <c r="K36" s="9">
        <v>218400.6</v>
      </c>
      <c r="L36" s="9">
        <v>50850</v>
      </c>
      <c r="M36" s="9">
        <v>110250</v>
      </c>
      <c r="N36" s="9">
        <v>882</v>
      </c>
      <c r="O36" s="9">
        <v>23378.4</v>
      </c>
      <c r="P36" s="9">
        <v>20529.6</v>
      </c>
      <c r="Q36" s="9">
        <v>153253.8</v>
      </c>
      <c r="R36" s="9">
        <v>17170</v>
      </c>
      <c r="S36" s="9">
        <v>10844.4</v>
      </c>
      <c r="T36" s="9">
        <v>52932.35</v>
      </c>
      <c r="U36" s="9">
        <v>41000.75</v>
      </c>
      <c r="V36" s="9">
        <v>52962.88</v>
      </c>
      <c r="W36" s="9">
        <v>45012</v>
      </c>
      <c r="X36" s="9">
        <v>16382.7</v>
      </c>
      <c r="Y36" s="9">
        <v>5137.05</v>
      </c>
      <c r="Z36" s="9">
        <v>2915.25</v>
      </c>
      <c r="AA36" s="9">
        <v>2422.5</v>
      </c>
      <c r="AB36" s="9">
        <v>13720</v>
      </c>
      <c r="AC36" s="9">
        <v>28779.6</v>
      </c>
      <c r="AD36" s="9">
        <v>48112</v>
      </c>
      <c r="AE36" s="9">
        <v>38606.4</v>
      </c>
      <c r="AF36" s="9">
        <v>32143.2</v>
      </c>
      <c r="AG36" s="9">
        <v>30082</v>
      </c>
      <c r="AH36" s="9">
        <v>13200</v>
      </c>
      <c r="AI36" s="9">
        <v>22377.6</v>
      </c>
      <c r="AJ36" s="9">
        <v>32750.45</v>
      </c>
      <c r="AK36" s="9">
        <v>64919.8</v>
      </c>
      <c r="AL36" s="9">
        <v>24794.2</v>
      </c>
      <c r="AM36" s="9">
        <v>29991</v>
      </c>
      <c r="AN36" s="9">
        <v>33233</v>
      </c>
      <c r="AO36" s="9">
        <v>35298</v>
      </c>
      <c r="AP36" s="9">
        <v>23452</v>
      </c>
      <c r="AQ36" s="9">
        <v>20120.1</v>
      </c>
      <c r="AR36" s="9">
        <v>15747</v>
      </c>
      <c r="AS36" s="9">
        <v>33205</v>
      </c>
      <c r="AT36" s="9">
        <v>22017</v>
      </c>
      <c r="AU36" s="9">
        <v>29454.45</v>
      </c>
      <c r="AV36" s="9">
        <v>21962.6</v>
      </c>
      <c r="AW36" s="9">
        <v>931.5</v>
      </c>
      <c r="AX36" s="9">
        <v>15746.1</v>
      </c>
      <c r="AY36" s="9">
        <v>20343.5</v>
      </c>
      <c r="AZ36" s="9">
        <v>20606.6</v>
      </c>
      <c r="BA36" s="9">
        <v>26445.3</v>
      </c>
      <c r="BB36" s="9">
        <v>17094</v>
      </c>
      <c r="BC36" s="9">
        <v>29057.6</v>
      </c>
      <c r="BD36" s="9">
        <v>27922.6</v>
      </c>
      <c r="BE36" s="9">
        <v>39842.6</v>
      </c>
      <c r="BF36" s="9">
        <v>29884.5</v>
      </c>
      <c r="BG36" s="9">
        <v>145793</v>
      </c>
      <c r="BH36" s="9">
        <v>58072</v>
      </c>
      <c r="BI36" s="9">
        <v>21842.4</v>
      </c>
      <c r="BJ36" s="9">
        <v>37395</v>
      </c>
      <c r="BK36" s="9">
        <v>90909</v>
      </c>
      <c r="BL36" s="9">
        <v>29140</v>
      </c>
      <c r="BM36" s="9">
        <v>60579.15</v>
      </c>
      <c r="BN36" s="9">
        <v>9360</v>
      </c>
      <c r="BO36" s="9">
        <v>33743</v>
      </c>
      <c r="BP36" s="9">
        <v>22932</v>
      </c>
      <c r="BQ36" s="9">
        <v>32382</v>
      </c>
      <c r="BR36" s="9">
        <v>23838</v>
      </c>
      <c r="BS36" s="9">
        <v>21433.8</v>
      </c>
      <c r="BT36" s="9">
        <v>24588.2</v>
      </c>
      <c r="BU36" s="9">
        <v>15899</v>
      </c>
      <c r="BV36" s="9">
        <v>9659</v>
      </c>
      <c r="BW36" s="9">
        <v>16125.3</v>
      </c>
      <c r="BX36" s="9">
        <v>34765.2</v>
      </c>
      <c r="BY36" s="9">
        <v>120493.8</v>
      </c>
      <c r="BZ36" s="9">
        <v>46462</v>
      </c>
      <c r="CA36" s="9">
        <v>97578</v>
      </c>
      <c r="CB36" s="9">
        <v>16549.95</v>
      </c>
      <c r="CC36" s="9">
        <v>8280</v>
      </c>
      <c r="CD36" s="9">
        <v>13543.2</v>
      </c>
      <c r="CE36" s="9">
        <v>9234</v>
      </c>
      <c r="CF36" s="9">
        <v>4683.5</v>
      </c>
      <c r="CG36" s="9">
        <v>4437</v>
      </c>
      <c r="CH36" s="9">
        <v>4845</v>
      </c>
      <c r="CI36" s="9">
        <v>10682.25</v>
      </c>
      <c r="CJ36" s="9">
        <v>44123.76</v>
      </c>
      <c r="CK36" s="9">
        <v>5894.46</v>
      </c>
      <c r="CL36" s="9">
        <v>374.36</v>
      </c>
      <c r="CM36" s="9">
        <v>18957.9</v>
      </c>
      <c r="CN36" s="9">
        <v>42</v>
      </c>
      <c r="CO36" s="9">
        <v>20511</v>
      </c>
      <c r="CP36" s="9">
        <v>17625</v>
      </c>
      <c r="CQ36" s="9">
        <v>6982.5</v>
      </c>
      <c r="CR36" s="9">
        <v>6123.6</v>
      </c>
      <c r="CS36" s="9">
        <v>8400</v>
      </c>
      <c r="CT36" s="9">
        <v>41190</v>
      </c>
      <c r="CU36" s="9">
        <v>16476</v>
      </c>
      <c r="CV36" s="9">
        <v>6865</v>
      </c>
      <c r="CW36" s="9">
        <v>22089</v>
      </c>
      <c r="CX36" s="9">
        <v>333.8</v>
      </c>
      <c r="CY36" s="9">
        <v>20863.3</v>
      </c>
      <c r="CZ36" s="9">
        <v>17001.6</v>
      </c>
      <c r="DA36" s="9">
        <v>7006.95</v>
      </c>
      <c r="DB36" s="9">
        <v>5742</v>
      </c>
      <c r="DC36" s="9">
        <v>4862.6</v>
      </c>
      <c r="DD36" s="9">
        <v>275</v>
      </c>
      <c r="DE36" s="9">
        <v>134</v>
      </c>
      <c r="DF36" s="9">
        <v>52200</v>
      </c>
      <c r="DG36" s="9">
        <v>113700</v>
      </c>
      <c r="DH36" s="9">
        <v>776</v>
      </c>
      <c r="DI36" s="9">
        <v>92556</v>
      </c>
      <c r="DJ36" s="9">
        <v>28308</v>
      </c>
      <c r="DK36" s="9">
        <v>3681</v>
      </c>
      <c r="DL36" s="9">
        <v>600</v>
      </c>
      <c r="DM36" s="9">
        <v>7950</v>
      </c>
      <c r="DN36" s="9">
        <v>11674</v>
      </c>
      <c r="DO36" s="9">
        <v>67132.8</v>
      </c>
      <c r="DP36" s="9">
        <v>99338.4</v>
      </c>
      <c r="DQ36" s="9">
        <v>32723.66</v>
      </c>
      <c r="DR36" s="9">
        <v>7290.75</v>
      </c>
      <c r="DS36" s="9">
        <v>1349.71</v>
      </c>
      <c r="DT36" s="9">
        <v>6685.06</v>
      </c>
      <c r="DU36" s="9">
        <v>24217.2</v>
      </c>
      <c r="DV36" s="9">
        <v>13732.3</v>
      </c>
      <c r="DW36" s="9">
        <v>16320.48</v>
      </c>
      <c r="DX36" s="9">
        <v>52200</v>
      </c>
      <c r="DY36" s="9">
        <v>113700</v>
      </c>
      <c r="DZ36" s="9">
        <v>910</v>
      </c>
      <c r="EA36" s="9">
        <v>845.82</v>
      </c>
      <c r="EB36" s="9">
        <v>66306.9</v>
      </c>
      <c r="EC36" s="9">
        <v>27892.48</v>
      </c>
      <c r="ED36" s="9">
        <v>9720</v>
      </c>
      <c r="EE36" s="9">
        <v>6480</v>
      </c>
      <c r="EF36" s="9">
        <v>7134.5</v>
      </c>
      <c r="EG36" s="9">
        <v>5700</v>
      </c>
      <c r="EH36" s="9">
        <v>29040</v>
      </c>
      <c r="EI36" s="9">
        <v>8704.8</v>
      </c>
      <c r="EJ36" s="9">
        <v>77656.32</v>
      </c>
      <c r="EK36" s="9">
        <v>11034.5</v>
      </c>
      <c r="EL36" s="9">
        <v>41844.35</v>
      </c>
      <c r="EM36" s="9">
        <v>33444.36</v>
      </c>
      <c r="EN36" s="9">
        <v>7120.7</v>
      </c>
      <c r="EO36" s="9">
        <v>10091.48</v>
      </c>
      <c r="EP36" s="9">
        <v>4097.85</v>
      </c>
      <c r="EQ36" s="9">
        <v>645</v>
      </c>
      <c r="ER36" s="9">
        <v>4472</v>
      </c>
      <c r="ES36" s="9">
        <v>2213.7</v>
      </c>
      <c r="ET36" s="9">
        <v>44573.44</v>
      </c>
      <c r="EU36" s="9">
        <v>181440</v>
      </c>
      <c r="EV36" s="9">
        <v>157248</v>
      </c>
      <c r="EW36" s="9">
        <v>6580</v>
      </c>
      <c r="EX36" s="9">
        <v>384430</v>
      </c>
      <c r="EY36" s="9">
        <v>6624</v>
      </c>
      <c r="EZ36" s="9">
        <v>17712</v>
      </c>
      <c r="FA36" s="9">
        <v>77</v>
      </c>
      <c r="FB36" s="9">
        <v>367169.5</v>
      </c>
      <c r="FC36" s="9">
        <v>16858.62</v>
      </c>
      <c r="FD36" s="9">
        <v>10095.65</v>
      </c>
      <c r="FE36" s="9">
        <v>28193.13</v>
      </c>
      <c r="FF36" s="9">
        <v>19665.18</v>
      </c>
      <c r="FG36" s="16">
        <v>923</v>
      </c>
      <c r="FH36" s="9">
        <v>44519.35</v>
      </c>
      <c r="FI36" s="9">
        <v>3735.99</v>
      </c>
      <c r="FJ36" s="9">
        <v>30980.33</v>
      </c>
      <c r="FK36" s="9">
        <v>16439.36</v>
      </c>
      <c r="FL36" s="9">
        <v>6665</v>
      </c>
      <c r="FM36" s="16">
        <v>29971.2</v>
      </c>
      <c r="FN36" s="16">
        <v>33163.2</v>
      </c>
      <c r="FO36" s="16">
        <v>25868.7</v>
      </c>
      <c r="FP36" s="16">
        <v>63567.75</v>
      </c>
      <c r="FQ36" s="9">
        <v>35568</v>
      </c>
      <c r="FR36" s="9">
        <v>2280</v>
      </c>
      <c r="FS36" s="9">
        <v>38025</v>
      </c>
      <c r="FT36" s="9">
        <v>2421.25</v>
      </c>
      <c r="FU36" s="9">
        <v>24277.5</v>
      </c>
      <c r="FV36" s="9">
        <v>20851</v>
      </c>
      <c r="FW36" s="9">
        <v>26839.5</v>
      </c>
      <c r="FX36" s="9">
        <v>19846.8</v>
      </c>
      <c r="FY36" s="9">
        <v>54210.45</v>
      </c>
      <c r="FZ36" s="9">
        <v>35191.8</v>
      </c>
      <c r="GA36" s="9">
        <v>16738.2</v>
      </c>
      <c r="GB36" s="9">
        <v>34524.6</v>
      </c>
      <c r="GC36" s="9">
        <v>56404.53</v>
      </c>
      <c r="GD36" s="9">
        <v>28982.2</v>
      </c>
      <c r="GE36" s="9">
        <v>141120</v>
      </c>
      <c r="GF36" s="9">
        <v>141120</v>
      </c>
      <c r="GG36" s="9">
        <v>19383</v>
      </c>
      <c r="GH36" s="9">
        <v>86854.3</v>
      </c>
      <c r="GI36" s="9">
        <v>20441.49</v>
      </c>
      <c r="GJ36" s="9">
        <v>43138.09</v>
      </c>
      <c r="GK36" s="9">
        <v>23754.58</v>
      </c>
      <c r="GL36" s="9">
        <v>321.92</v>
      </c>
      <c r="GM36" s="9">
        <v>52582.38</v>
      </c>
      <c r="GN36" s="9">
        <v>10250.36</v>
      </c>
      <c r="GO36" s="9">
        <v>18118.4</v>
      </c>
      <c r="GP36" s="9">
        <v>79114.51</v>
      </c>
      <c r="GQ36" s="9">
        <v>5911.92</v>
      </c>
      <c r="GR36" s="9">
        <v>4937.92</v>
      </c>
      <c r="GS36" s="9">
        <v>1927.2</v>
      </c>
      <c r="GT36" s="9">
        <v>44519.35</v>
      </c>
      <c r="GU36" s="9">
        <v>3458.04</v>
      </c>
      <c r="GV36" s="9">
        <v>73695.4</v>
      </c>
      <c r="GW36" s="9">
        <v>17627.05</v>
      </c>
      <c r="GX36" s="9">
        <v>1760</v>
      </c>
      <c r="GY36" s="9">
        <v>15714</v>
      </c>
      <c r="GZ36" s="9">
        <v>6489</v>
      </c>
      <c r="HA36" s="9">
        <v>68301</v>
      </c>
      <c r="HB36" s="9">
        <v>38608</v>
      </c>
      <c r="HC36" s="9">
        <v>20674.5</v>
      </c>
      <c r="HD36" s="9">
        <v>44529.66</v>
      </c>
    </row>
    <row r="37" customHeight="true" spans="1:166">
      <c r="A37" s="5">
        <v>34</v>
      </c>
      <c r="B37" s="6" t="str">
        <f>'明细表（有误0'!C37</f>
        <v>建支国际贸易（天津）有限公司</v>
      </c>
      <c r="D37" s="9"/>
      <c r="E37" s="12">
        <f t="shared" si="1"/>
        <v>6244.79</v>
      </c>
      <c r="F37" s="9">
        <v>5911.79</v>
      </c>
      <c r="G37" s="9">
        <v>333</v>
      </c>
      <c r="H37" s="9"/>
      <c r="I37" s="9"/>
      <c r="J37" s="9"/>
      <c r="K37" s="9"/>
      <c r="L37" s="9"/>
      <c r="M37" s="9"/>
      <c r="N37" s="9"/>
      <c r="O37" s="9"/>
      <c r="AA37" s="8"/>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row>
    <row r="38" customHeight="true" spans="1:166">
      <c r="A38" s="5">
        <v>35</v>
      </c>
      <c r="B38" s="6" t="str">
        <f>'明细表（有误0'!C38</f>
        <v>天津中物网络科技股份公司</v>
      </c>
      <c r="D38" s="9"/>
      <c r="E38" s="12">
        <f t="shared" si="1"/>
        <v>10706378.15</v>
      </c>
      <c r="F38" s="9">
        <v>398860.59</v>
      </c>
      <c r="G38" s="9">
        <v>3650</v>
      </c>
      <c r="H38" s="9">
        <v>32175.39</v>
      </c>
      <c r="I38" s="9">
        <v>18667.3</v>
      </c>
      <c r="J38" s="9">
        <v>327306.32</v>
      </c>
      <c r="K38" s="9">
        <v>19272.52</v>
      </c>
      <c r="L38" s="9">
        <v>13255</v>
      </c>
      <c r="M38" s="9">
        <v>6651</v>
      </c>
      <c r="N38" s="9">
        <v>29115</v>
      </c>
      <c r="O38" s="9">
        <v>91184</v>
      </c>
      <c r="P38" s="9">
        <v>23110.88</v>
      </c>
      <c r="Q38" s="9">
        <v>33016.51</v>
      </c>
      <c r="R38" s="9">
        <v>438004.7</v>
      </c>
      <c r="S38" s="9">
        <v>324360</v>
      </c>
      <c r="T38" s="9">
        <v>59294.7</v>
      </c>
      <c r="U38" s="9">
        <v>9898.2</v>
      </c>
      <c r="V38" s="9">
        <v>188878</v>
      </c>
      <c r="W38" s="9">
        <v>102750</v>
      </c>
      <c r="X38" s="9">
        <v>52727</v>
      </c>
      <c r="Y38" s="9">
        <v>24900.75</v>
      </c>
      <c r="Z38" s="9">
        <v>24377.01</v>
      </c>
      <c r="AA38" s="9">
        <v>127983.96</v>
      </c>
      <c r="AB38" s="9">
        <v>117389.93</v>
      </c>
      <c r="AC38" s="9">
        <v>92674.7</v>
      </c>
      <c r="AD38" s="9">
        <v>54612</v>
      </c>
      <c r="AE38" s="9">
        <v>1572</v>
      </c>
      <c r="AF38" s="9">
        <v>65020</v>
      </c>
      <c r="AG38" s="9">
        <v>14722.48</v>
      </c>
      <c r="AH38" s="9">
        <v>47432.95</v>
      </c>
      <c r="AI38" s="9">
        <v>68976.5</v>
      </c>
      <c r="AJ38" s="9">
        <v>20343</v>
      </c>
      <c r="AK38" s="9">
        <v>43500.33</v>
      </c>
      <c r="AL38" s="9">
        <v>82491.97</v>
      </c>
      <c r="AM38" s="9">
        <v>14000</v>
      </c>
      <c r="AN38" s="9">
        <v>7300</v>
      </c>
      <c r="AO38" s="9">
        <v>79392</v>
      </c>
      <c r="AP38" s="9">
        <v>22420.65</v>
      </c>
      <c r="AQ38" s="9">
        <v>22683.69</v>
      </c>
      <c r="AR38" s="9">
        <v>89287.12</v>
      </c>
      <c r="AS38" s="9">
        <v>401378</v>
      </c>
      <c r="AT38" s="9">
        <v>105570</v>
      </c>
      <c r="AU38" s="9">
        <v>101124</v>
      </c>
      <c r="AV38" s="9">
        <v>15733.44</v>
      </c>
      <c r="AW38" s="9">
        <v>21935.08</v>
      </c>
      <c r="AX38" s="9">
        <v>22578</v>
      </c>
      <c r="AY38" s="9">
        <v>58262.6</v>
      </c>
      <c r="AZ38" s="9">
        <v>77205.4</v>
      </c>
      <c r="BA38" s="9">
        <v>2434.25</v>
      </c>
      <c r="BB38" s="9">
        <v>251883.08</v>
      </c>
      <c r="BC38" s="9">
        <v>6641</v>
      </c>
      <c r="BD38" s="9">
        <v>83432</v>
      </c>
      <c r="BE38" s="9">
        <v>79340</v>
      </c>
      <c r="BF38" s="9">
        <v>54180</v>
      </c>
      <c r="BG38" s="9">
        <v>340621.52</v>
      </c>
      <c r="BH38" s="9">
        <v>429428.48</v>
      </c>
      <c r="BI38" s="9">
        <v>424541.54</v>
      </c>
      <c r="BJ38" s="9">
        <v>199936.42</v>
      </c>
      <c r="BK38" s="9">
        <v>55392</v>
      </c>
      <c r="BL38" s="9">
        <v>73800</v>
      </c>
      <c r="BM38" s="9">
        <v>77049.75</v>
      </c>
      <c r="BN38" s="9">
        <v>51547</v>
      </c>
      <c r="BO38" s="9">
        <v>64810.76</v>
      </c>
      <c r="BP38" s="9">
        <v>322560.79</v>
      </c>
      <c r="BQ38" s="9">
        <v>47263.21</v>
      </c>
      <c r="BR38" s="9">
        <v>44235</v>
      </c>
      <c r="BS38" s="9">
        <v>22630</v>
      </c>
      <c r="BT38" s="9">
        <v>7232</v>
      </c>
      <c r="BU38" s="9">
        <v>7088</v>
      </c>
      <c r="BV38" s="9">
        <v>192577.6</v>
      </c>
      <c r="BW38" s="9">
        <v>22500</v>
      </c>
      <c r="BX38" s="9">
        <v>18372.74</v>
      </c>
      <c r="BY38" s="9">
        <v>71152.5</v>
      </c>
      <c r="BZ38" s="9">
        <v>151619</v>
      </c>
      <c r="CA38" s="9">
        <v>20209.42</v>
      </c>
      <c r="CB38" s="9">
        <v>15200</v>
      </c>
      <c r="CC38" s="9">
        <v>15435</v>
      </c>
      <c r="CD38" s="9">
        <v>11025</v>
      </c>
      <c r="CE38" s="9">
        <v>21670</v>
      </c>
      <c r="CF38" s="9">
        <v>118182</v>
      </c>
      <c r="CG38" s="9">
        <v>17483</v>
      </c>
      <c r="CH38" s="9">
        <v>26590.24</v>
      </c>
      <c r="CI38" s="9">
        <v>728556.86</v>
      </c>
      <c r="CJ38" s="9">
        <v>21808.77</v>
      </c>
      <c r="CK38" s="9">
        <v>67660.23</v>
      </c>
      <c r="CL38" s="9">
        <v>35792</v>
      </c>
      <c r="CM38" s="9">
        <v>32018</v>
      </c>
      <c r="CN38" s="9">
        <v>26798.67</v>
      </c>
      <c r="CO38" s="9">
        <v>44784.12</v>
      </c>
      <c r="CP38" s="9">
        <v>23250</v>
      </c>
      <c r="CQ38" s="9">
        <v>22860</v>
      </c>
      <c r="CR38" s="9">
        <v>75160.8</v>
      </c>
      <c r="CS38" s="9">
        <v>11368.8</v>
      </c>
      <c r="CT38" s="9">
        <v>20850</v>
      </c>
      <c r="CU38" s="9">
        <v>69902.03</v>
      </c>
      <c r="CV38" s="9">
        <v>68706.57</v>
      </c>
      <c r="CW38" s="9">
        <v>26561.94</v>
      </c>
      <c r="CX38" s="9">
        <v>21984.21</v>
      </c>
      <c r="CY38" s="9">
        <v>242233</v>
      </c>
      <c r="CZ38" s="9">
        <v>151192</v>
      </c>
      <c r="DA38" s="9">
        <v>244750</v>
      </c>
      <c r="DB38" s="9">
        <v>35414</v>
      </c>
      <c r="DC38" s="9">
        <v>54316.8</v>
      </c>
      <c r="DD38" s="9">
        <v>49114.2</v>
      </c>
      <c r="DE38" s="9">
        <v>12558</v>
      </c>
      <c r="DF38" s="9">
        <v>13960</v>
      </c>
      <c r="DG38" s="9">
        <v>56461.22</v>
      </c>
      <c r="DH38" s="9">
        <v>836481.16</v>
      </c>
      <c r="DI38" s="9">
        <v>309782.26</v>
      </c>
      <c r="DJ38" s="9">
        <v>56944.54</v>
      </c>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row>
    <row r="39" customHeight="true" spans="1:166">
      <c r="A39" s="5">
        <v>36</v>
      </c>
      <c r="B39" s="6" t="str">
        <f>'明细表（有误0'!C39</f>
        <v>天津盛荣纺织品有限公司</v>
      </c>
      <c r="D39" s="9">
        <v>47577.6</v>
      </c>
      <c r="E39" s="12">
        <f t="shared" si="1"/>
        <v>98774.16</v>
      </c>
      <c r="F39" s="9">
        <v>11998.8</v>
      </c>
      <c r="G39" s="9">
        <v>23814</v>
      </c>
      <c r="H39" s="9">
        <v>6249.6</v>
      </c>
      <c r="I39" s="9">
        <v>5364.24</v>
      </c>
      <c r="J39" s="9">
        <v>8541.12</v>
      </c>
      <c r="K39" s="9">
        <v>42806.4</v>
      </c>
      <c r="L39" s="9"/>
      <c r="M39" s="9"/>
      <c r="N39" s="9"/>
      <c r="O39" s="9"/>
      <c r="AA39" s="8"/>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row>
    <row r="40" customHeight="true" spans="1:166">
      <c r="A40" s="5">
        <v>37</v>
      </c>
      <c r="B40" s="6" t="str">
        <f>'明细表（有误0'!C40</f>
        <v>天津市安赛乐米塔尔钢铁贸易有限公司</v>
      </c>
      <c r="D40" s="9"/>
      <c r="E40" s="12">
        <f t="shared" si="1"/>
        <v>145336.36</v>
      </c>
      <c r="F40" s="9">
        <v>22912.47</v>
      </c>
      <c r="G40" s="9">
        <v>90265.64</v>
      </c>
      <c r="H40" s="9">
        <v>25458.25</v>
      </c>
      <c r="I40" s="9">
        <v>2067.97</v>
      </c>
      <c r="J40" s="9">
        <v>4632.03</v>
      </c>
      <c r="K40" s="9"/>
      <c r="L40" s="9"/>
      <c r="M40" s="9"/>
      <c r="N40" s="9"/>
      <c r="O40" s="9"/>
      <c r="AA40" s="8"/>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row>
    <row r="41" customHeight="true" spans="1:166">
      <c r="A41" s="5">
        <v>38</v>
      </c>
      <c r="B41" s="6" t="str">
        <f>'明细表（有误0'!C41</f>
        <v>天津恒华管道技术有限公司</v>
      </c>
      <c r="D41" s="9"/>
      <c r="E41" s="12">
        <f t="shared" si="1"/>
        <v>80511.35</v>
      </c>
      <c r="F41" s="9">
        <v>14103</v>
      </c>
      <c r="G41" s="9">
        <v>50</v>
      </c>
      <c r="H41" s="9">
        <v>1300</v>
      </c>
      <c r="I41" s="9">
        <v>3360</v>
      </c>
      <c r="J41" s="9">
        <v>3440</v>
      </c>
      <c r="K41" s="9">
        <v>11245</v>
      </c>
      <c r="L41" s="9">
        <v>700</v>
      </c>
      <c r="M41" s="9">
        <v>3490</v>
      </c>
      <c r="N41" s="9">
        <v>400</v>
      </c>
      <c r="O41" s="9">
        <v>6600</v>
      </c>
      <c r="P41" s="9">
        <v>6334</v>
      </c>
      <c r="Q41" s="9">
        <v>2784</v>
      </c>
      <c r="R41" s="9">
        <v>3900</v>
      </c>
      <c r="S41" s="9">
        <v>920</v>
      </c>
      <c r="T41" s="9">
        <v>650</v>
      </c>
      <c r="U41" s="9">
        <v>408</v>
      </c>
      <c r="V41" s="9">
        <v>225</v>
      </c>
      <c r="W41" s="9">
        <v>2640</v>
      </c>
      <c r="X41" s="9">
        <v>2640</v>
      </c>
      <c r="Y41" s="9">
        <v>1399</v>
      </c>
      <c r="Z41" s="9">
        <v>4647.35</v>
      </c>
      <c r="AA41" s="9">
        <v>396</v>
      </c>
      <c r="AB41" s="9">
        <v>8880</v>
      </c>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row>
    <row r="42" customHeight="true" spans="1:166">
      <c r="A42" s="5">
        <v>39</v>
      </c>
      <c r="B42" s="6" t="str">
        <f>'明细表（有误0'!C42</f>
        <v>天津铠达科技有限公司</v>
      </c>
      <c r="D42" s="9">
        <f>4500+7200+1800+6000</f>
        <v>19500</v>
      </c>
      <c r="E42" s="12">
        <f t="shared" si="1"/>
        <v>0</v>
      </c>
      <c r="F42" s="9"/>
      <c r="G42" s="9"/>
      <c r="H42" s="9"/>
      <c r="I42" s="9"/>
      <c r="J42" s="9"/>
      <c r="K42" s="9"/>
      <c r="L42" s="9"/>
      <c r="M42" s="9"/>
      <c r="N42" s="9"/>
      <c r="O42" s="9"/>
      <c r="AA42" s="8"/>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row>
    <row r="43" customHeight="true" spans="1:166">
      <c r="A43" s="5">
        <v>40</v>
      </c>
      <c r="B43" s="6" t="str">
        <f>'明细表（有误0'!C43</f>
        <v>天津市瑞源电工器材有限公司</v>
      </c>
      <c r="D43" s="9">
        <v>440.67</v>
      </c>
      <c r="E43" s="12">
        <f t="shared" si="1"/>
        <v>24210.87</v>
      </c>
      <c r="F43" s="9">
        <v>814.9</v>
      </c>
      <c r="G43" s="9">
        <v>435.49</v>
      </c>
      <c r="H43" s="9">
        <v>1667.59</v>
      </c>
      <c r="I43" s="9">
        <v>1054.18</v>
      </c>
      <c r="J43" s="9">
        <v>4396.87</v>
      </c>
      <c r="K43" s="9">
        <v>1141</v>
      </c>
      <c r="L43" s="9">
        <v>1455.45</v>
      </c>
      <c r="M43" s="9">
        <v>127.08</v>
      </c>
      <c r="N43" s="9">
        <v>5482.26</v>
      </c>
      <c r="O43" s="9">
        <v>3427.59</v>
      </c>
      <c r="P43" s="9">
        <v>600.98</v>
      </c>
      <c r="Q43" s="9">
        <v>890.45</v>
      </c>
      <c r="R43" s="9">
        <v>1527.27</v>
      </c>
      <c r="S43" s="9">
        <v>453.85</v>
      </c>
      <c r="T43" s="9">
        <v>735.91</v>
      </c>
      <c r="AA43" s="8"/>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row>
    <row r="44" customHeight="true" spans="1:166">
      <c r="A44" s="5">
        <v>41</v>
      </c>
      <c r="B44" s="6" t="str">
        <f>'明细表（有误0'!C44</f>
        <v>天津维莱福进出口贸易有限公司</v>
      </c>
      <c r="D44" s="9"/>
      <c r="E44" s="12">
        <f t="shared" si="1"/>
        <v>0</v>
      </c>
      <c r="F44" s="9"/>
      <c r="G44" s="9"/>
      <c r="H44" s="9"/>
      <c r="I44" s="9"/>
      <c r="J44" s="9"/>
      <c r="K44" s="9"/>
      <c r="L44" s="9"/>
      <c r="M44" s="9"/>
      <c r="N44" s="9"/>
      <c r="O44" s="9"/>
      <c r="AA44" s="8"/>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row>
    <row r="45" customHeight="true" spans="1:166">
      <c r="A45" s="5">
        <v>42</v>
      </c>
      <c r="B45" s="6" t="str">
        <f>'明细表（有误0'!C45</f>
        <v>天津莱泽源环保科技有限公司</v>
      </c>
      <c r="D45" s="9"/>
      <c r="E45" s="12">
        <f t="shared" si="1"/>
        <v>208684.02</v>
      </c>
      <c r="F45" s="9">
        <v>19254.06</v>
      </c>
      <c r="G45" s="9">
        <v>154960.23</v>
      </c>
      <c r="H45" s="9">
        <v>34469.73</v>
      </c>
      <c r="I45" s="9"/>
      <c r="J45" s="9"/>
      <c r="K45" s="9"/>
      <c r="L45" s="9"/>
      <c r="M45" s="9"/>
      <c r="N45" s="9"/>
      <c r="O45" s="9"/>
      <c r="AA45" s="8"/>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row>
    <row r="46" customHeight="true" spans="1:200">
      <c r="A46" s="5">
        <v>43</v>
      </c>
      <c r="B46" s="6" t="str">
        <f>'明细表（有误0'!C46</f>
        <v>天津中健国康纳米科技股份有限公司</v>
      </c>
      <c r="C46" s="9"/>
      <c r="D46" s="9"/>
      <c r="E46" s="12">
        <f t="shared" si="1"/>
        <v>751025.43</v>
      </c>
      <c r="F46" s="9">
        <v>44372.16</v>
      </c>
      <c r="G46" s="9">
        <v>393.6</v>
      </c>
      <c r="H46" s="9">
        <v>780</v>
      </c>
      <c r="I46" s="9">
        <v>19885.74</v>
      </c>
      <c r="J46" s="9">
        <v>78</v>
      </c>
      <c r="K46" s="9">
        <v>1950</v>
      </c>
      <c r="L46" s="9">
        <v>290</v>
      </c>
      <c r="M46" s="9">
        <v>1400</v>
      </c>
      <c r="N46" s="9">
        <v>5800</v>
      </c>
      <c r="O46" s="9">
        <v>22680</v>
      </c>
      <c r="P46" s="9">
        <v>1400</v>
      </c>
      <c r="Q46" s="9">
        <v>1620</v>
      </c>
      <c r="R46" s="9">
        <v>1620</v>
      </c>
      <c r="S46" s="9">
        <v>2900</v>
      </c>
      <c r="T46" s="9">
        <v>1960</v>
      </c>
      <c r="U46" s="9">
        <v>1170</v>
      </c>
      <c r="V46" s="9">
        <v>1080</v>
      </c>
      <c r="W46" s="9">
        <v>290</v>
      </c>
      <c r="X46" s="9">
        <v>1450</v>
      </c>
      <c r="Y46" s="9">
        <v>15670.4</v>
      </c>
      <c r="Z46" s="9">
        <v>3075</v>
      </c>
      <c r="AA46" s="9">
        <v>2700</v>
      </c>
      <c r="AB46" s="9">
        <v>720</v>
      </c>
      <c r="AC46" s="9">
        <v>1300</v>
      </c>
      <c r="AD46" s="9">
        <v>2496</v>
      </c>
      <c r="AE46" s="9">
        <v>162.5</v>
      </c>
      <c r="AF46" s="9">
        <v>294</v>
      </c>
      <c r="AG46" s="9">
        <v>247.5</v>
      </c>
      <c r="AH46" s="9">
        <v>15</v>
      </c>
      <c r="AI46" s="9">
        <v>1360</v>
      </c>
      <c r="AJ46" s="9">
        <v>1300</v>
      </c>
      <c r="AK46" s="9">
        <v>1369</v>
      </c>
      <c r="AL46" s="9">
        <v>300</v>
      </c>
      <c r="AM46" s="9">
        <v>1200</v>
      </c>
      <c r="AN46" s="9">
        <v>5200</v>
      </c>
      <c r="AO46" s="9">
        <v>2800</v>
      </c>
      <c r="AP46" s="9">
        <v>1500</v>
      </c>
      <c r="AQ46" s="9">
        <v>670</v>
      </c>
      <c r="AR46" s="9">
        <v>272.5</v>
      </c>
      <c r="AS46" s="9">
        <v>11.5</v>
      </c>
      <c r="AT46" s="9">
        <v>23</v>
      </c>
      <c r="AU46" s="9">
        <v>792</v>
      </c>
      <c r="AV46" s="9">
        <v>195</v>
      </c>
      <c r="AW46" s="9">
        <v>291</v>
      </c>
      <c r="AX46" s="9">
        <v>2400</v>
      </c>
      <c r="AY46" s="9">
        <v>2200</v>
      </c>
      <c r="AZ46" s="9">
        <v>650</v>
      </c>
      <c r="BA46" s="9">
        <v>157.25</v>
      </c>
      <c r="BB46" s="9">
        <v>18829.86</v>
      </c>
      <c r="BC46" s="9">
        <v>19920</v>
      </c>
      <c r="BD46" s="9">
        <v>538</v>
      </c>
      <c r="BE46" s="9">
        <v>774</v>
      </c>
      <c r="BF46" s="9">
        <v>7.5</v>
      </c>
      <c r="BG46" s="9">
        <v>2300</v>
      </c>
      <c r="BH46" s="9">
        <v>6500</v>
      </c>
      <c r="BI46" s="9">
        <v>2200</v>
      </c>
      <c r="BJ46" s="9">
        <v>2300</v>
      </c>
      <c r="BK46" s="9">
        <v>3100</v>
      </c>
      <c r="BL46" s="9">
        <v>525</v>
      </c>
      <c r="BM46" s="9">
        <v>1500</v>
      </c>
      <c r="BN46" s="9">
        <v>859.5</v>
      </c>
      <c r="BO46" s="9">
        <v>145</v>
      </c>
      <c r="BP46" s="9">
        <v>164.5</v>
      </c>
      <c r="BQ46" s="9">
        <v>471.9</v>
      </c>
      <c r="BR46" s="9">
        <v>900</v>
      </c>
      <c r="BS46" s="9">
        <v>1278</v>
      </c>
      <c r="BT46" s="9">
        <v>720</v>
      </c>
      <c r="BU46" s="9">
        <v>1625</v>
      </c>
      <c r="BV46" s="9">
        <v>925</v>
      </c>
      <c r="BW46" s="9">
        <v>883.6</v>
      </c>
      <c r="BX46" s="9">
        <v>768.5</v>
      </c>
      <c r="BY46" s="9">
        <v>770</v>
      </c>
      <c r="BZ46" s="9">
        <v>83</v>
      </c>
      <c r="CA46" s="9">
        <v>7.2</v>
      </c>
      <c r="CB46" s="9">
        <v>10</v>
      </c>
      <c r="CC46" s="9">
        <v>4400</v>
      </c>
      <c r="CD46" s="9">
        <v>3500</v>
      </c>
      <c r="CE46" s="9">
        <v>1500</v>
      </c>
      <c r="CF46" s="9">
        <v>25077.15</v>
      </c>
      <c r="CG46" s="9">
        <v>13280</v>
      </c>
      <c r="CH46" s="9">
        <v>888</v>
      </c>
      <c r="CI46" s="9">
        <v>372</v>
      </c>
      <c r="CJ46" s="9">
        <v>5700</v>
      </c>
      <c r="CK46" s="9">
        <v>1320</v>
      </c>
      <c r="CL46" s="9">
        <v>480</v>
      </c>
      <c r="CM46" s="9">
        <v>9570</v>
      </c>
      <c r="CN46" s="9">
        <v>190</v>
      </c>
      <c r="CO46" s="9">
        <v>700</v>
      </c>
      <c r="CP46" s="9">
        <v>980</v>
      </c>
      <c r="CQ46" s="9">
        <v>2330.4</v>
      </c>
      <c r="CR46" s="9">
        <v>1757.6</v>
      </c>
      <c r="CS46" s="9">
        <v>2587.5</v>
      </c>
      <c r="CT46" s="9">
        <v>468.6</v>
      </c>
      <c r="CU46" s="9">
        <v>12025.2</v>
      </c>
      <c r="CV46" s="9">
        <v>1100</v>
      </c>
      <c r="CW46" s="9">
        <v>260</v>
      </c>
      <c r="CX46" s="9">
        <v>212</v>
      </c>
      <c r="CY46" s="9">
        <v>199</v>
      </c>
      <c r="CZ46" s="9">
        <v>45</v>
      </c>
      <c r="DA46" s="9">
        <v>135</v>
      </c>
      <c r="DB46" s="9">
        <v>44.6</v>
      </c>
      <c r="DC46" s="9">
        <v>236</v>
      </c>
      <c r="DD46" s="9">
        <v>125</v>
      </c>
      <c r="DE46" s="9">
        <v>730</v>
      </c>
      <c r="DF46" s="9">
        <v>936</v>
      </c>
      <c r="DG46" s="9">
        <v>174</v>
      </c>
      <c r="DH46" s="9">
        <v>1100</v>
      </c>
      <c r="DI46" s="9">
        <v>9570</v>
      </c>
      <c r="DJ46" s="9">
        <v>6696</v>
      </c>
      <c r="DK46" s="9">
        <v>2200</v>
      </c>
      <c r="DL46" s="9">
        <v>3375</v>
      </c>
      <c r="DM46" s="9">
        <v>5460</v>
      </c>
      <c r="DN46" s="9">
        <v>9600</v>
      </c>
      <c r="DO46" s="9">
        <v>5400</v>
      </c>
      <c r="DP46" s="9">
        <v>10160</v>
      </c>
      <c r="DQ46" s="9">
        <v>24199.35</v>
      </c>
      <c r="DR46" s="9">
        <v>6440</v>
      </c>
      <c r="DS46" s="9">
        <v>6516.72</v>
      </c>
      <c r="DT46" s="9">
        <v>4878.72</v>
      </c>
      <c r="DU46" s="9">
        <v>2161.6</v>
      </c>
      <c r="DV46" s="9">
        <v>3405</v>
      </c>
      <c r="DW46" s="9">
        <v>9218.4</v>
      </c>
      <c r="DX46" s="9">
        <v>2200</v>
      </c>
      <c r="DY46" s="9">
        <v>896</v>
      </c>
      <c r="DZ46" s="9">
        <v>1792</v>
      </c>
      <c r="EA46" s="9">
        <v>2090</v>
      </c>
      <c r="EB46" s="9">
        <v>400</v>
      </c>
      <c r="EC46" s="9">
        <v>15660</v>
      </c>
      <c r="ED46" s="9">
        <v>8400</v>
      </c>
      <c r="EE46" s="9">
        <v>17280</v>
      </c>
      <c r="EF46" s="9">
        <v>4305</v>
      </c>
      <c r="EG46" s="9">
        <v>1536</v>
      </c>
      <c r="EH46" s="9">
        <v>480</v>
      </c>
      <c r="EI46" s="9">
        <v>550</v>
      </c>
      <c r="EJ46" s="9">
        <v>1620</v>
      </c>
      <c r="EK46" s="9">
        <v>1254</v>
      </c>
      <c r="EL46" s="9">
        <v>1060</v>
      </c>
      <c r="EM46" s="9">
        <v>940.5</v>
      </c>
      <c r="EN46" s="9">
        <v>265</v>
      </c>
      <c r="EO46" s="9">
        <v>104.5</v>
      </c>
      <c r="EP46" s="9">
        <v>234</v>
      </c>
      <c r="EQ46" s="9">
        <v>14040</v>
      </c>
      <c r="ER46" s="9">
        <v>5520</v>
      </c>
      <c r="ES46" s="9">
        <v>19140</v>
      </c>
      <c r="ET46" s="9">
        <v>17160</v>
      </c>
      <c r="EU46" s="9">
        <v>5299.2</v>
      </c>
      <c r="EV46" s="9">
        <v>19140</v>
      </c>
      <c r="EW46" s="9">
        <v>680</v>
      </c>
      <c r="EX46" s="9">
        <v>290</v>
      </c>
      <c r="EY46" s="9">
        <v>16982</v>
      </c>
      <c r="EZ46" s="9">
        <v>12880</v>
      </c>
      <c r="FA46" s="9">
        <v>5159.07</v>
      </c>
      <c r="FB46" s="9">
        <v>6430</v>
      </c>
      <c r="FC46" s="9">
        <v>2200</v>
      </c>
      <c r="FD46" s="9">
        <v>17160</v>
      </c>
      <c r="FE46" s="9">
        <v>5520</v>
      </c>
      <c r="FF46" s="9">
        <v>19140</v>
      </c>
      <c r="FG46" s="9">
        <v>17160</v>
      </c>
      <c r="FH46" s="9">
        <v>5520</v>
      </c>
      <c r="FI46" s="9">
        <v>19140</v>
      </c>
      <c r="FJ46" s="9">
        <v>792</v>
      </c>
      <c r="FK46" s="9">
        <v>191</v>
      </c>
      <c r="FL46" s="9">
        <v>249</v>
      </c>
      <c r="FM46" s="9">
        <v>358.61</v>
      </c>
      <c r="FN46" s="9">
        <v>284</v>
      </c>
      <c r="FO46" s="9">
        <v>269</v>
      </c>
      <c r="FP46" s="9">
        <v>909</v>
      </c>
      <c r="FQ46" s="9">
        <v>2435</v>
      </c>
      <c r="FR46" s="9">
        <v>4100</v>
      </c>
      <c r="FS46" s="9">
        <v>782.03</v>
      </c>
      <c r="FT46" s="9">
        <v>782.03</v>
      </c>
      <c r="FU46" s="9">
        <v>185.94</v>
      </c>
      <c r="FV46" s="9">
        <v>980</v>
      </c>
      <c r="FW46" s="9">
        <v>6340</v>
      </c>
      <c r="FX46" s="9">
        <v>6630</v>
      </c>
      <c r="FY46" s="9">
        <v>1860</v>
      </c>
      <c r="FZ46" s="9">
        <v>5250</v>
      </c>
      <c r="GA46" s="9">
        <v>1450</v>
      </c>
      <c r="GB46" s="9">
        <v>2710</v>
      </c>
      <c r="GC46" s="9">
        <v>4400</v>
      </c>
      <c r="GD46" s="9">
        <v>4480</v>
      </c>
      <c r="GE46" s="9">
        <v>3300</v>
      </c>
      <c r="GF46" s="9">
        <v>2360</v>
      </c>
      <c r="GG46" s="9"/>
      <c r="GH46" s="9"/>
      <c r="GI46" s="9"/>
      <c r="GJ46" s="9"/>
      <c r="GK46" s="9"/>
      <c r="GL46" s="9"/>
      <c r="GM46" s="9"/>
      <c r="GN46" s="9"/>
      <c r="GO46" s="9"/>
      <c r="GP46" s="9"/>
      <c r="GQ46" s="9"/>
      <c r="GR46" s="9"/>
    </row>
    <row r="47" customHeight="true" spans="1:306">
      <c r="A47" s="5">
        <v>44</v>
      </c>
      <c r="B47" s="6" t="str">
        <f>'明细表（有误0'!C47</f>
        <v>天津百益尔康科技发展有限公司</v>
      </c>
      <c r="C47" s="9"/>
      <c r="D47" s="9"/>
      <c r="E47" s="12">
        <f t="shared" si="1"/>
        <v>3243936.99329561</v>
      </c>
      <c r="F47" s="9">
        <v>650</v>
      </c>
      <c r="G47" s="9">
        <v>810</v>
      </c>
      <c r="H47" s="9">
        <v>65.8</v>
      </c>
      <c r="I47" s="9">
        <v>250</v>
      </c>
      <c r="J47" s="9">
        <v>37400</v>
      </c>
      <c r="K47" s="9">
        <v>1440</v>
      </c>
      <c r="L47" s="9">
        <v>2200</v>
      </c>
      <c r="M47" s="9">
        <v>1400</v>
      </c>
      <c r="N47" s="9">
        <v>1440</v>
      </c>
      <c r="O47" s="9">
        <v>1920</v>
      </c>
      <c r="P47" s="9">
        <v>220</v>
      </c>
      <c r="Q47" s="9">
        <f>202474-30874</f>
        <v>171600</v>
      </c>
      <c r="R47" s="9">
        <v>2900</v>
      </c>
      <c r="S47" s="9">
        <v>9600</v>
      </c>
      <c r="T47" s="9">
        <v>2900</v>
      </c>
      <c r="U47" s="9">
        <v>46.2</v>
      </c>
      <c r="V47" s="9">
        <v>5500</v>
      </c>
      <c r="W47" s="9">
        <v>4000</v>
      </c>
      <c r="X47" s="9">
        <v>87.6</v>
      </c>
      <c r="Y47" s="9">
        <v>1550</v>
      </c>
      <c r="Z47" s="9">
        <v>990</v>
      </c>
      <c r="AA47" s="9">
        <v>1275</v>
      </c>
      <c r="AB47" s="9">
        <v>620</v>
      </c>
      <c r="AC47" s="9">
        <v>2200</v>
      </c>
      <c r="AD47" s="9">
        <v>780</v>
      </c>
      <c r="AE47" s="9">
        <v>2500</v>
      </c>
      <c r="AF47" s="9">
        <v>640</v>
      </c>
      <c r="AG47" s="9">
        <v>124</v>
      </c>
      <c r="AH47" s="9">
        <v>1300</v>
      </c>
      <c r="AI47" s="9">
        <v>1080</v>
      </c>
      <c r="AJ47" s="9">
        <v>319</v>
      </c>
      <c r="AK47" s="9">
        <v>55</v>
      </c>
      <c r="AL47" s="9">
        <v>660</v>
      </c>
      <c r="AM47" s="9">
        <v>800</v>
      </c>
      <c r="AN47" s="9">
        <v>220</v>
      </c>
      <c r="AO47" s="9">
        <v>3480</v>
      </c>
      <c r="AP47" s="9">
        <v>220</v>
      </c>
      <c r="AQ47" s="9">
        <v>80</v>
      </c>
      <c r="AR47" s="9">
        <v>220</v>
      </c>
      <c r="AS47" s="9">
        <v>1100</v>
      </c>
      <c r="AT47" s="9">
        <v>870</v>
      </c>
      <c r="AU47" s="9">
        <v>115.5</v>
      </c>
      <c r="AV47" s="9">
        <v>273</v>
      </c>
      <c r="AW47" s="9">
        <v>1400</v>
      </c>
      <c r="AX47" s="9">
        <v>1180</v>
      </c>
      <c r="AY47" s="9">
        <v>1145</v>
      </c>
      <c r="AZ47" s="9">
        <v>21.6</v>
      </c>
      <c r="BA47" s="9">
        <v>21.6</v>
      </c>
      <c r="BB47" s="9">
        <v>2900</v>
      </c>
      <c r="BC47" s="9">
        <v>12.4</v>
      </c>
      <c r="BD47" s="9">
        <v>20000</v>
      </c>
      <c r="BE47" s="9">
        <v>15</v>
      </c>
      <c r="BF47" s="9">
        <v>320</v>
      </c>
      <c r="BG47" s="9">
        <v>1160</v>
      </c>
      <c r="BH47" s="9">
        <v>1200</v>
      </c>
      <c r="BI47" s="9">
        <v>1500</v>
      </c>
      <c r="BJ47" s="9">
        <v>580</v>
      </c>
      <c r="BK47" s="9">
        <v>600</v>
      </c>
      <c r="BL47" s="9">
        <v>1800</v>
      </c>
      <c r="BM47" s="9">
        <v>775</v>
      </c>
      <c r="BN47" s="9">
        <v>6300</v>
      </c>
      <c r="BO47" s="9">
        <v>2253</v>
      </c>
      <c r="BP47" s="9">
        <v>5200</v>
      </c>
      <c r="BQ47" s="9">
        <v>9860</v>
      </c>
      <c r="BR47" s="9">
        <v>5060</v>
      </c>
      <c r="BS47" s="9">
        <v>2680</v>
      </c>
      <c r="BT47" s="9">
        <v>5800</v>
      </c>
      <c r="BU47" s="9">
        <v>18000</v>
      </c>
      <c r="BV47" s="9">
        <v>1560</v>
      </c>
      <c r="BW47" s="9">
        <v>3056</v>
      </c>
      <c r="BX47" s="9">
        <v>2440</v>
      </c>
      <c r="BY47" s="9">
        <v>9500</v>
      </c>
      <c r="BZ47" s="9">
        <v>15560</v>
      </c>
      <c r="CA47" s="9">
        <v>3756</v>
      </c>
      <c r="CB47" s="9">
        <v>1740</v>
      </c>
      <c r="CC47" s="9">
        <v>3168</v>
      </c>
      <c r="CD47" s="9">
        <v>140000</v>
      </c>
      <c r="CE47" s="9">
        <v>140000</v>
      </c>
      <c r="CF47" s="9">
        <v>79200</v>
      </c>
      <c r="CG47" s="9">
        <v>6960</v>
      </c>
      <c r="CH47" s="9">
        <v>13920</v>
      </c>
      <c r="CI47" s="9">
        <v>6380</v>
      </c>
      <c r="CJ47" s="9">
        <v>12343</v>
      </c>
      <c r="CK47" s="9">
        <v>6160</v>
      </c>
      <c r="CL47" s="9">
        <v>6600</v>
      </c>
      <c r="CM47" s="9">
        <v>6600</v>
      </c>
      <c r="CN47" s="9">
        <v>4420</v>
      </c>
      <c r="CO47" s="9">
        <v>26400</v>
      </c>
      <c r="CP47" s="9">
        <v>5800</v>
      </c>
      <c r="CQ47" s="9">
        <v>1584</v>
      </c>
      <c r="CR47" s="9">
        <f>187135-750-164.68</f>
        <v>186220.32</v>
      </c>
      <c r="CS47" s="9">
        <v>6380</v>
      </c>
      <c r="CT47" s="9">
        <v>6380</v>
      </c>
      <c r="CU47" s="9">
        <v>40000</v>
      </c>
      <c r="CV47" s="9">
        <v>651</v>
      </c>
      <c r="CW47" s="9">
        <v>434</v>
      </c>
      <c r="CX47" s="9">
        <v>290</v>
      </c>
      <c r="CY47" s="9">
        <v>640</v>
      </c>
      <c r="CZ47" s="9">
        <v>700</v>
      </c>
      <c r="DA47" s="9">
        <v>220</v>
      </c>
      <c r="DB47" s="9">
        <v>1450</v>
      </c>
      <c r="DC47" s="9">
        <v>2100</v>
      </c>
      <c r="DD47" s="9">
        <v>2900</v>
      </c>
      <c r="DE47" s="9">
        <v>8700</v>
      </c>
      <c r="DF47" s="9">
        <v>140000</v>
      </c>
      <c r="DG47" s="9">
        <v>140000</v>
      </c>
      <c r="DH47" s="9">
        <f>7956/6.4601</f>
        <v>1231.55988297395</v>
      </c>
      <c r="DI47" s="9">
        <v>7440</v>
      </c>
      <c r="DJ47" s="9">
        <v>1000</v>
      </c>
      <c r="DK47" s="9">
        <v>1020</v>
      </c>
      <c r="DL47" s="9">
        <v>2560</v>
      </c>
      <c r="DM47" s="9">
        <v>315</v>
      </c>
      <c r="DN47" s="9">
        <v>2220</v>
      </c>
      <c r="DO47" s="9">
        <v>1810</v>
      </c>
      <c r="DP47" s="9">
        <v>434</v>
      </c>
      <c r="DQ47" s="9">
        <v>1360.6</v>
      </c>
      <c r="DR47" s="9">
        <v>238915</v>
      </c>
      <c r="DS47" s="9">
        <v>2800</v>
      </c>
      <c r="DT47" s="9">
        <v>3100</v>
      </c>
      <c r="DU47" s="9">
        <v>36960</v>
      </c>
      <c r="DV47" s="9">
        <v>6600</v>
      </c>
      <c r="DW47" s="9">
        <v>815.5</v>
      </c>
      <c r="DX47" s="9">
        <v>1980</v>
      </c>
      <c r="DY47" s="9">
        <v>4100</v>
      </c>
      <c r="DZ47" s="9">
        <f>2640*2</f>
        <v>5280</v>
      </c>
      <c r="EA47" s="9">
        <v>10560</v>
      </c>
      <c r="EB47" s="9">
        <v>5800</v>
      </c>
      <c r="EC47" s="9">
        <v>280000</v>
      </c>
      <c r="ED47" s="9">
        <f>17680/6.4601</f>
        <v>2736.79973994211</v>
      </c>
      <c r="EE47" s="9">
        <v>14080</v>
      </c>
      <c r="EF47" s="9">
        <v>1340</v>
      </c>
      <c r="EG47" s="9">
        <v>1860</v>
      </c>
      <c r="EH47" s="9">
        <v>1085</v>
      </c>
      <c r="EI47" s="9">
        <f>8000*7.6862/6.4601</f>
        <v>9518.3665887525</v>
      </c>
      <c r="EJ47" s="9">
        <v>143600</v>
      </c>
      <c r="EK47" s="9">
        <v>145760</v>
      </c>
      <c r="EL47" s="9">
        <v>1580</v>
      </c>
      <c r="EM47" s="9">
        <v>2460</v>
      </c>
      <c r="EN47" s="9">
        <v>6860</v>
      </c>
      <c r="EO47" s="9">
        <v>13200</v>
      </c>
      <c r="EP47" s="9">
        <v>7040</v>
      </c>
      <c r="EQ47" s="9">
        <v>8800</v>
      </c>
      <c r="ER47" s="9">
        <v>5075</v>
      </c>
      <c r="ES47" s="9">
        <v>3600</v>
      </c>
      <c r="ET47" s="9">
        <v>1758</v>
      </c>
      <c r="EU47" s="9">
        <v>7540</v>
      </c>
      <c r="EV47" s="9">
        <v>6380</v>
      </c>
      <c r="EW47" s="9">
        <v>6820</v>
      </c>
      <c r="EX47" s="9">
        <v>2900</v>
      </c>
      <c r="EY47" s="9">
        <v>4860</v>
      </c>
      <c r="EZ47" s="9">
        <v>7527</v>
      </c>
      <c r="FA47" s="9">
        <v>7040</v>
      </c>
      <c r="FB47" s="9">
        <v>6960</v>
      </c>
      <c r="FC47" s="9">
        <v>2185</v>
      </c>
      <c r="FD47" s="9">
        <v>7800</v>
      </c>
      <c r="FE47" s="9">
        <f>6820*3</f>
        <v>20460</v>
      </c>
      <c r="FF47" s="9">
        <v>7040</v>
      </c>
      <c r="FG47" s="9">
        <v>7680</v>
      </c>
      <c r="FH47" s="9">
        <v>1085</v>
      </c>
      <c r="FI47" s="9">
        <v>3900</v>
      </c>
      <c r="FJ47" s="9">
        <v>3080</v>
      </c>
      <c r="FK47" s="9">
        <v>6820</v>
      </c>
      <c r="FL47" s="9">
        <v>6380</v>
      </c>
      <c r="FM47" s="9">
        <v>6820</v>
      </c>
      <c r="FN47" s="9">
        <v>1920</v>
      </c>
      <c r="FO47" s="9">
        <v>1100</v>
      </c>
      <c r="FP47" s="9">
        <v>8700</v>
      </c>
      <c r="FQ47" s="9">
        <v>6820</v>
      </c>
      <c r="FR47" s="9">
        <v>3100</v>
      </c>
      <c r="FS47" s="9">
        <v>6820</v>
      </c>
      <c r="FT47" s="9">
        <v>6960</v>
      </c>
      <c r="FU47" s="9">
        <v>6380</v>
      </c>
      <c r="FV47" s="9">
        <v>11880</v>
      </c>
      <c r="FW47" s="9">
        <v>8000</v>
      </c>
      <c r="FX47" s="9">
        <v>16200</v>
      </c>
      <c r="FY47" s="9">
        <v>14000</v>
      </c>
      <c r="FZ47" s="9">
        <v>11380</v>
      </c>
      <c r="GA47" s="9">
        <v>2115</v>
      </c>
      <c r="GB47" s="9">
        <v>18900</v>
      </c>
      <c r="GC47" s="9">
        <v>9380</v>
      </c>
      <c r="GD47" s="9">
        <f>3360*2</f>
        <v>6720</v>
      </c>
      <c r="GE47" s="9">
        <v>320</v>
      </c>
      <c r="GF47" s="9">
        <v>1135</v>
      </c>
      <c r="GG47" s="9">
        <v>650</v>
      </c>
      <c r="GH47" s="9">
        <v>41250</v>
      </c>
      <c r="GI47" s="9">
        <v>4581</v>
      </c>
      <c r="GJ47" s="9">
        <v>1950</v>
      </c>
      <c r="GK47" s="9">
        <v>11500</v>
      </c>
      <c r="GL47" s="9">
        <v>2211</v>
      </c>
      <c r="GM47" s="9">
        <v>5750</v>
      </c>
      <c r="GN47" s="9">
        <v>6450</v>
      </c>
      <c r="GO47" s="9">
        <v>1960</v>
      </c>
      <c r="GP47" s="9">
        <v>4810</v>
      </c>
      <c r="GQ47" s="9">
        <v>30555</v>
      </c>
      <c r="GR47" s="9">
        <v>101.8</v>
      </c>
      <c r="GS47" s="9">
        <v>164.25</v>
      </c>
      <c r="GT47" s="9">
        <v>1960</v>
      </c>
      <c r="GU47" s="9">
        <v>570</v>
      </c>
      <c r="GV47" s="9">
        <v>750</v>
      </c>
      <c r="GW47" s="9">
        <v>5380</v>
      </c>
      <c r="GX47" s="9">
        <v>926</v>
      </c>
      <c r="GY47" s="9">
        <v>467.5</v>
      </c>
      <c r="GZ47" s="9">
        <v>2860</v>
      </c>
      <c r="HA47" s="9">
        <v>3549</v>
      </c>
      <c r="HB47" s="9">
        <v>3300</v>
      </c>
      <c r="HC47" s="9">
        <v>1560</v>
      </c>
      <c r="HD47" s="9">
        <v>10615</v>
      </c>
      <c r="HE47" s="9">
        <v>1550</v>
      </c>
      <c r="HF47" s="9">
        <v>10615</v>
      </c>
      <c r="HG47" s="9">
        <v>910</v>
      </c>
      <c r="HH47" s="9">
        <v>935</v>
      </c>
      <c r="HI47" s="9">
        <f>27393.26/6.4601</f>
        <v>4240.37708394607</v>
      </c>
      <c r="HJ47" s="9">
        <v>520</v>
      </c>
      <c r="HK47" s="9">
        <v>1680</v>
      </c>
      <c r="HL47" s="9">
        <v>1458</v>
      </c>
      <c r="HM47" s="9">
        <v>2775</v>
      </c>
      <c r="HN47" s="9">
        <v>4860</v>
      </c>
      <c r="HO47" s="9">
        <v>2775</v>
      </c>
      <c r="HP47" s="9">
        <v>192000</v>
      </c>
      <c r="HQ47" s="9">
        <v>850</v>
      </c>
      <c r="HR47" s="9">
        <v>875</v>
      </c>
      <c r="HS47" s="9">
        <v>4681.6</v>
      </c>
      <c r="HT47" s="9">
        <v>4313.4</v>
      </c>
      <c r="HU47" s="9">
        <v>8100</v>
      </c>
      <c r="HV47" s="9">
        <v>4979</v>
      </c>
      <c r="HW47" s="9">
        <v>7910</v>
      </c>
      <c r="HX47" s="9">
        <v>200</v>
      </c>
      <c r="HY47" s="9">
        <v>2472</v>
      </c>
      <c r="HZ47" s="9">
        <v>5300</v>
      </c>
      <c r="IA47" s="9">
        <v>4975</v>
      </c>
      <c r="IB47" s="9">
        <v>1575</v>
      </c>
      <c r="IC47" s="9">
        <v>1410</v>
      </c>
      <c r="ID47" s="9">
        <v>5500</v>
      </c>
      <c r="IE47" s="9">
        <v>1625</v>
      </c>
      <c r="IF47" s="9">
        <v>311</v>
      </c>
      <c r="IG47" s="9">
        <v>425</v>
      </c>
      <c r="IH47" s="9">
        <v>1447</v>
      </c>
      <c r="II47" s="9">
        <v>9500</v>
      </c>
      <c r="IJ47" s="9">
        <v>22000</v>
      </c>
      <c r="IK47" s="9">
        <v>3200</v>
      </c>
      <c r="IL47" s="9">
        <v>825</v>
      </c>
      <c r="IM47" s="9">
        <v>1430</v>
      </c>
      <c r="IN47" s="9">
        <v>1200</v>
      </c>
      <c r="IO47" s="9">
        <v>5820</v>
      </c>
      <c r="IP47" s="9">
        <v>3080</v>
      </c>
      <c r="IQ47" s="9">
        <v>980</v>
      </c>
      <c r="IR47" s="9">
        <v>860</v>
      </c>
      <c r="IS47" s="9">
        <v>1630</v>
      </c>
      <c r="IT47" s="9">
        <v>1540</v>
      </c>
      <c r="IU47" s="9">
        <v>2350</v>
      </c>
      <c r="IV47" s="9">
        <v>3600</v>
      </c>
      <c r="IW47" s="9">
        <v>2085</v>
      </c>
      <c r="IX47" s="9">
        <v>3420</v>
      </c>
      <c r="IY47" s="9">
        <v>1890</v>
      </c>
      <c r="IZ47" s="9">
        <v>1578</v>
      </c>
      <c r="JA47" s="9">
        <v>720</v>
      </c>
      <c r="JB47" s="9">
        <v>1625</v>
      </c>
      <c r="JC47" s="9">
        <v>925</v>
      </c>
      <c r="JD47" s="9">
        <v>1868</v>
      </c>
      <c r="JE47" s="9">
        <v>725</v>
      </c>
      <c r="JF47" s="9">
        <v>640</v>
      </c>
      <c r="JG47" s="9">
        <v>799.8</v>
      </c>
      <c r="JH47" s="9">
        <v>31800</v>
      </c>
      <c r="JI47" s="9">
        <v>570</v>
      </c>
      <c r="JJ47" s="9">
        <v>3870</v>
      </c>
      <c r="JK47" s="9">
        <v>630</v>
      </c>
      <c r="JL47" s="9">
        <v>640</v>
      </c>
      <c r="JM47" s="9">
        <v>350</v>
      </c>
      <c r="JN47" s="9">
        <v>960</v>
      </c>
      <c r="JO47" s="9">
        <v>343</v>
      </c>
      <c r="JP47" s="9">
        <v>698</v>
      </c>
      <c r="JQ47" s="9">
        <v>4075</v>
      </c>
      <c r="JR47" s="9">
        <v>1800</v>
      </c>
      <c r="JS47" s="9">
        <v>1871</v>
      </c>
      <c r="JT47" s="9">
        <v>990</v>
      </c>
      <c r="JU47" s="9">
        <v>1208</v>
      </c>
      <c r="JV47" s="9">
        <v>360</v>
      </c>
      <c r="JW47" s="9">
        <v>1475</v>
      </c>
      <c r="JX47" s="9">
        <v>180</v>
      </c>
      <c r="JY47" s="9">
        <v>1695</v>
      </c>
      <c r="JZ47" s="9">
        <v>1840</v>
      </c>
      <c r="KA47" s="9">
        <v>366</v>
      </c>
      <c r="KB47" s="9">
        <v>1485</v>
      </c>
      <c r="KC47" s="9">
        <v>67.5</v>
      </c>
      <c r="KD47" s="9">
        <v>258</v>
      </c>
      <c r="KE47" s="9">
        <v>27000</v>
      </c>
      <c r="KF47" s="9">
        <v>540</v>
      </c>
      <c r="KG47" s="9">
        <v>480</v>
      </c>
      <c r="KH47" s="9">
        <v>472</v>
      </c>
      <c r="KI47" s="9">
        <v>520</v>
      </c>
      <c r="KJ47" s="9">
        <v>2012</v>
      </c>
      <c r="KK47" s="9">
        <v>1470</v>
      </c>
      <c r="KL47" s="9">
        <v>3117.5</v>
      </c>
      <c r="KM47" s="9">
        <v>4100</v>
      </c>
      <c r="KN47" s="9">
        <v>1024.46</v>
      </c>
      <c r="KO47" s="9">
        <v>993.96</v>
      </c>
      <c r="KP47" s="9">
        <v>2090</v>
      </c>
      <c r="KQ47" s="9">
        <v>780</v>
      </c>
      <c r="KR47" s="9">
        <v>713</v>
      </c>
      <c r="KS47" s="9">
        <v>5</v>
      </c>
      <c r="KT47" s="9"/>
    </row>
    <row r="48" customHeight="true" spans="1:210">
      <c r="A48" s="5">
        <v>45</v>
      </c>
      <c r="B48" s="6" t="str">
        <f>'明细表（有误0'!C48</f>
        <v>天津岱安金属材料有限公司</v>
      </c>
      <c r="D48" s="9"/>
      <c r="E48" s="12">
        <f t="shared" ref="E48:E60" si="2">SUM(F48:KS48)</f>
        <v>1306950.28</v>
      </c>
      <c r="F48" s="9">
        <v>56380.2</v>
      </c>
      <c r="G48" s="9">
        <v>22066.35</v>
      </c>
      <c r="H48" s="9">
        <v>5213.8</v>
      </c>
      <c r="I48" s="9">
        <v>242.29</v>
      </c>
      <c r="J48" s="9">
        <v>1999.45</v>
      </c>
      <c r="K48" s="9">
        <v>145093.33</v>
      </c>
      <c r="L48" s="9">
        <v>49099.3</v>
      </c>
      <c r="M48" s="9">
        <v>56182.7</v>
      </c>
      <c r="N48" s="9">
        <v>29173.9</v>
      </c>
      <c r="O48" s="9">
        <v>3400</v>
      </c>
      <c r="P48" s="9">
        <v>52428.35</v>
      </c>
      <c r="Q48" s="9">
        <v>6280</v>
      </c>
      <c r="R48" s="9">
        <v>3845</v>
      </c>
      <c r="S48" s="9">
        <v>1439.45</v>
      </c>
      <c r="T48" s="9">
        <v>11084.1</v>
      </c>
      <c r="U48" s="9">
        <v>60583.55</v>
      </c>
      <c r="V48" s="9">
        <v>1711.1</v>
      </c>
      <c r="W48" s="9">
        <v>49505.28</v>
      </c>
      <c r="X48" s="9">
        <v>13525.5</v>
      </c>
      <c r="Y48" s="9">
        <v>91084.61</v>
      </c>
      <c r="Z48" s="9">
        <v>33212.2</v>
      </c>
      <c r="AA48" s="9">
        <v>187411.67</v>
      </c>
      <c r="AB48" s="9">
        <v>28873.5</v>
      </c>
      <c r="AC48" s="9">
        <v>37095.5</v>
      </c>
      <c r="AD48" s="9">
        <v>29747.78</v>
      </c>
      <c r="AE48" s="9">
        <v>67534</v>
      </c>
      <c r="AF48" s="9">
        <v>4754.75</v>
      </c>
      <c r="AG48" s="9">
        <v>48157.97</v>
      </c>
      <c r="AH48" s="9">
        <v>16488.54</v>
      </c>
      <c r="AI48" s="9">
        <v>3069.16</v>
      </c>
      <c r="AJ48" s="9">
        <v>34827.05</v>
      </c>
      <c r="AK48" s="9">
        <v>12271.83</v>
      </c>
      <c r="AL48" s="9">
        <v>33137</v>
      </c>
      <c r="AM48" s="9">
        <v>9118.99</v>
      </c>
      <c r="AN48" s="9">
        <v>3660.4</v>
      </c>
      <c r="AO48" s="9">
        <v>51811.74</v>
      </c>
      <c r="AP48" s="9">
        <v>10894.8</v>
      </c>
      <c r="AQ48" s="9">
        <v>34545.14</v>
      </c>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HB48" s="8" t="s">
        <v>1011</v>
      </c>
    </row>
    <row r="49" customHeight="true" spans="1:166">
      <c r="A49" s="5">
        <v>46</v>
      </c>
      <c r="B49" s="6" t="str">
        <f>'明细表（有误0'!C49</f>
        <v>天津市兆宏金属制品股份有限公司</v>
      </c>
      <c r="D49" s="9"/>
      <c r="E49" s="12">
        <f t="shared" si="2"/>
        <v>1059515.1</v>
      </c>
      <c r="F49" s="9">
        <v>52500</v>
      </c>
      <c r="G49" s="9">
        <v>56625</v>
      </c>
      <c r="H49" s="9">
        <v>52500</v>
      </c>
      <c r="I49" s="9">
        <v>56625</v>
      </c>
      <c r="J49" s="9">
        <v>14800</v>
      </c>
      <c r="K49" s="9">
        <v>63600</v>
      </c>
      <c r="L49" s="9">
        <v>23920</v>
      </c>
      <c r="M49" s="9">
        <v>84500</v>
      </c>
      <c r="N49" s="9">
        <v>79500</v>
      </c>
      <c r="O49" s="9">
        <v>24960</v>
      </c>
      <c r="P49" s="9">
        <v>121100</v>
      </c>
      <c r="Q49" s="9">
        <v>8800</v>
      </c>
      <c r="R49" s="9">
        <v>114985.1</v>
      </c>
      <c r="S49" s="9">
        <v>152550</v>
      </c>
      <c r="T49" s="9">
        <v>152550</v>
      </c>
      <c r="AA49" s="8"/>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row>
    <row r="50" customHeight="true" spans="1:166">
      <c r="A50" s="5">
        <v>47</v>
      </c>
      <c r="B50" s="6" t="str">
        <f>'明细表（有误0'!C50</f>
        <v>天津大桥国际贸易有限责任公司</v>
      </c>
      <c r="D50" s="9"/>
      <c r="E50" s="12">
        <f t="shared" si="2"/>
        <v>3967649.57</v>
      </c>
      <c r="F50" s="9">
        <v>188784</v>
      </c>
      <c r="G50" s="9">
        <v>188784</v>
      </c>
      <c r="H50" s="9">
        <v>73751.6</v>
      </c>
      <c r="I50" s="9">
        <v>27702</v>
      </c>
      <c r="J50" s="9">
        <v>188784</v>
      </c>
      <c r="K50" s="9">
        <v>188784</v>
      </c>
      <c r="L50" s="9">
        <v>72420.48</v>
      </c>
      <c r="M50" s="9">
        <v>51995</v>
      </c>
      <c r="N50" s="9">
        <v>39721.32</v>
      </c>
      <c r="O50" s="9">
        <v>43474.89</v>
      </c>
      <c r="P50" s="9">
        <v>214164</v>
      </c>
      <c r="Q50" s="9">
        <v>143487.92</v>
      </c>
      <c r="R50" s="9">
        <v>188072.75</v>
      </c>
      <c r="S50" s="9">
        <v>37868.16</v>
      </c>
      <c r="T50" s="9">
        <v>53472</v>
      </c>
      <c r="U50" s="9">
        <v>266247</v>
      </c>
      <c r="V50" s="9">
        <v>25384</v>
      </c>
      <c r="W50" s="9">
        <v>11167.27</v>
      </c>
      <c r="X50" s="9">
        <v>18720</v>
      </c>
      <c r="Y50" s="9">
        <v>4076.5</v>
      </c>
      <c r="Z50" s="9">
        <v>26875.8</v>
      </c>
      <c r="AA50" s="9">
        <v>11886</v>
      </c>
      <c r="AB50" s="9">
        <v>42250</v>
      </c>
      <c r="AC50" s="9">
        <v>43000</v>
      </c>
      <c r="AD50" s="9">
        <v>43000</v>
      </c>
      <c r="AE50" s="9">
        <v>43000</v>
      </c>
      <c r="AF50" s="9">
        <v>175750</v>
      </c>
      <c r="AG50" s="9">
        <v>21427.2</v>
      </c>
      <c r="AH50" s="9">
        <v>101952</v>
      </c>
      <c r="AI50" s="9">
        <v>126360</v>
      </c>
      <c r="AJ50" s="9">
        <v>18820.8</v>
      </c>
      <c r="AK50" s="9">
        <v>18991.2</v>
      </c>
      <c r="AL50" s="9">
        <v>106486</v>
      </c>
      <c r="AM50" s="9">
        <v>126126</v>
      </c>
      <c r="AN50" s="9">
        <v>68572</v>
      </c>
      <c r="AO50" s="9">
        <v>174750</v>
      </c>
      <c r="AP50" s="9">
        <v>41789</v>
      </c>
      <c r="AQ50" s="9">
        <v>26161.08</v>
      </c>
      <c r="AR50" s="9">
        <v>17000</v>
      </c>
      <c r="AS50" s="9">
        <v>42250</v>
      </c>
      <c r="AT50" s="9">
        <v>42250</v>
      </c>
      <c r="AU50" s="9">
        <v>23846.4</v>
      </c>
      <c r="AV50" s="9">
        <v>7182</v>
      </c>
      <c r="AW50" s="9">
        <v>42250</v>
      </c>
      <c r="AX50" s="9">
        <v>42250</v>
      </c>
      <c r="AY50" s="9">
        <v>65102.4</v>
      </c>
      <c r="AZ50" s="9">
        <v>441460.8</v>
      </c>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row>
    <row r="51" customHeight="true" spans="1:166">
      <c r="A51" s="5">
        <v>48</v>
      </c>
      <c r="B51" s="6" t="str">
        <f>'明细表（有误0'!C51</f>
        <v>天津大桥焊材集团有限公司</v>
      </c>
      <c r="D51" s="9"/>
      <c r="E51" s="12">
        <f t="shared" si="2"/>
        <v>1138507.55</v>
      </c>
      <c r="F51" s="9">
        <v>3058</v>
      </c>
      <c r="G51" s="9">
        <v>2299.5</v>
      </c>
      <c r="H51" s="9">
        <v>5086</v>
      </c>
      <c r="I51" s="9">
        <v>159</v>
      </c>
      <c r="J51" s="9">
        <v>135320</v>
      </c>
      <c r="K51" s="9">
        <v>37380</v>
      </c>
      <c r="L51" s="9">
        <v>8788.04</v>
      </c>
      <c r="M51" s="9">
        <v>11918.5</v>
      </c>
      <c r="N51" s="9">
        <v>2823.5</v>
      </c>
      <c r="O51" s="9">
        <v>48.6</v>
      </c>
      <c r="P51" s="9">
        <v>259300</v>
      </c>
      <c r="Q51" s="9">
        <v>21787.02</v>
      </c>
      <c r="R51" s="9">
        <v>19552</v>
      </c>
      <c r="S51" s="9">
        <v>2588</v>
      </c>
      <c r="T51" s="9">
        <v>130800</v>
      </c>
      <c r="U51" s="9">
        <v>10329</v>
      </c>
      <c r="V51" s="9">
        <v>3661</v>
      </c>
      <c r="W51" s="9">
        <v>1358</v>
      </c>
      <c r="X51" s="9">
        <v>1581.12</v>
      </c>
      <c r="Y51" s="9">
        <v>18524</v>
      </c>
      <c r="Z51" s="9">
        <v>817.88</v>
      </c>
      <c r="AA51" s="9">
        <v>3054</v>
      </c>
      <c r="AB51" s="9">
        <v>4311.36</v>
      </c>
      <c r="AC51" s="9">
        <v>41275</v>
      </c>
      <c r="AD51" s="9">
        <v>50220</v>
      </c>
      <c r="AE51" s="9">
        <v>19764</v>
      </c>
      <c r="AF51" s="9">
        <v>14762.5</v>
      </c>
      <c r="AG51" s="9">
        <v>18830.88</v>
      </c>
      <c r="AH51" s="9">
        <v>19950</v>
      </c>
      <c r="AI51" s="9">
        <v>14829.25</v>
      </c>
      <c r="AJ51" s="9">
        <v>11699.4</v>
      </c>
      <c r="AK51" s="9">
        <v>1032</v>
      </c>
      <c r="AL51" s="9">
        <v>261600</v>
      </c>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row>
    <row r="52" customHeight="true" spans="1:166">
      <c r="A52" s="5">
        <v>49</v>
      </c>
      <c r="B52" s="6" t="str">
        <f>'明细表（有误0'!C52</f>
        <v>天津市沐森科技有限公司</v>
      </c>
      <c r="D52" s="9"/>
      <c r="E52" s="12">
        <f t="shared" si="2"/>
        <v>514948.5</v>
      </c>
      <c r="F52" s="9">
        <v>1020</v>
      </c>
      <c r="G52" s="9">
        <v>175</v>
      </c>
      <c r="H52" s="9">
        <v>3885</v>
      </c>
      <c r="I52" s="9">
        <v>38776</v>
      </c>
      <c r="J52" s="9">
        <v>19775</v>
      </c>
      <c r="K52" s="9">
        <v>13800</v>
      </c>
      <c r="L52" s="9">
        <v>29301</v>
      </c>
      <c r="M52" s="9">
        <v>14185.5</v>
      </c>
      <c r="N52" s="9">
        <v>14404.5</v>
      </c>
      <c r="O52" s="9">
        <v>3200</v>
      </c>
      <c r="P52" s="9">
        <v>10800</v>
      </c>
      <c r="Q52" s="9">
        <v>16358</v>
      </c>
      <c r="R52" s="9">
        <v>82219</v>
      </c>
      <c r="S52" s="9">
        <v>6440</v>
      </c>
      <c r="T52" s="9">
        <v>4272</v>
      </c>
      <c r="U52" s="9">
        <v>6090</v>
      </c>
      <c r="V52" s="9">
        <v>3090</v>
      </c>
      <c r="W52" s="9">
        <v>3150</v>
      </c>
      <c r="X52" s="9">
        <v>7840</v>
      </c>
      <c r="Y52" s="9">
        <v>6000</v>
      </c>
      <c r="Z52" s="9">
        <v>3420</v>
      </c>
      <c r="AA52" s="9">
        <v>3280</v>
      </c>
      <c r="AB52" s="9">
        <v>593.5</v>
      </c>
      <c r="AC52" s="9">
        <v>4500</v>
      </c>
      <c r="AD52" s="9">
        <v>1785</v>
      </c>
      <c r="AE52" s="9">
        <v>16750</v>
      </c>
      <c r="AF52" s="9">
        <v>3576</v>
      </c>
      <c r="AG52" s="9">
        <v>1704</v>
      </c>
      <c r="AH52" s="9">
        <v>2000</v>
      </c>
      <c r="AI52" s="9">
        <v>22140</v>
      </c>
      <c r="AJ52" s="9">
        <v>55003</v>
      </c>
      <c r="AK52" s="9">
        <v>6500</v>
      </c>
      <c r="AL52" s="9">
        <v>386</v>
      </c>
      <c r="AM52" s="9">
        <v>8050</v>
      </c>
      <c r="AN52" s="9">
        <v>1360</v>
      </c>
      <c r="AO52" s="9">
        <v>990</v>
      </c>
      <c r="AP52" s="9">
        <v>14250</v>
      </c>
      <c r="AQ52" s="9">
        <v>715</v>
      </c>
      <c r="AR52" s="9">
        <v>665</v>
      </c>
      <c r="AS52" s="9">
        <v>825</v>
      </c>
      <c r="AT52" s="9">
        <v>885</v>
      </c>
      <c r="AU52" s="9">
        <v>2688</v>
      </c>
      <c r="AV52" s="9">
        <v>1900</v>
      </c>
      <c r="AW52" s="9">
        <v>2952</v>
      </c>
      <c r="AX52" s="9">
        <v>2512</v>
      </c>
      <c r="AY52" s="9">
        <v>23142</v>
      </c>
      <c r="AZ52" s="9">
        <v>47596</v>
      </c>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row>
    <row r="53" customHeight="true" spans="1:166">
      <c r="A53" s="5">
        <v>50</v>
      </c>
      <c r="B53" s="6" t="str">
        <f>'明细表（有误0'!C53</f>
        <v>天津市浩越全五金制品股份有限公司</v>
      </c>
      <c r="D53" s="9"/>
      <c r="E53" s="12">
        <f t="shared" si="2"/>
        <v>397166.04</v>
      </c>
      <c r="F53" s="9">
        <v>80370</v>
      </c>
      <c r="G53" s="9">
        <v>47961</v>
      </c>
      <c r="H53" s="9">
        <v>36630</v>
      </c>
      <c r="I53" s="9">
        <v>49750</v>
      </c>
      <c r="J53" s="9">
        <v>5155.5</v>
      </c>
      <c r="K53" s="9">
        <v>17838</v>
      </c>
      <c r="L53" s="9">
        <v>53682.71</v>
      </c>
      <c r="M53" s="9">
        <v>37153.28</v>
      </c>
      <c r="N53" s="9">
        <v>6855</v>
      </c>
      <c r="O53" s="9">
        <v>57142.21</v>
      </c>
      <c r="P53" s="9">
        <v>4628.34</v>
      </c>
      <c r="AA53" s="8"/>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row>
    <row r="54" customHeight="true" spans="1:166">
      <c r="A54" s="5">
        <v>51</v>
      </c>
      <c r="B54" s="6" t="str">
        <f>'明细表（有误0'!C54</f>
        <v>天津利安隆新材料股份有限公司</v>
      </c>
      <c r="D54" s="9"/>
      <c r="E54" s="12">
        <f t="shared" si="2"/>
        <v>4805813.06</v>
      </c>
      <c r="F54" s="9">
        <v>167580</v>
      </c>
      <c r="G54" s="9">
        <v>143640</v>
      </c>
      <c r="H54" s="9">
        <v>116660</v>
      </c>
      <c r="I54" s="9">
        <v>101650</v>
      </c>
      <c r="J54" s="9">
        <v>104120</v>
      </c>
      <c r="K54" s="9">
        <v>24510</v>
      </c>
      <c r="L54" s="9">
        <v>180576</v>
      </c>
      <c r="M54" s="9">
        <v>6412.5</v>
      </c>
      <c r="N54" s="9">
        <v>126160</v>
      </c>
      <c r="O54" s="9">
        <v>61560</v>
      </c>
      <c r="P54" s="9">
        <v>26539.2</v>
      </c>
      <c r="Q54" s="9">
        <v>139992</v>
      </c>
      <c r="R54" s="9">
        <v>218880</v>
      </c>
      <c r="S54" s="9">
        <v>151240</v>
      </c>
      <c r="T54" s="9">
        <v>121600</v>
      </c>
      <c r="U54" s="9">
        <v>142785</v>
      </c>
      <c r="V54" s="9">
        <v>121600</v>
      </c>
      <c r="W54" s="9">
        <v>136800</v>
      </c>
      <c r="X54" s="9">
        <v>218880</v>
      </c>
      <c r="Y54" s="9">
        <v>154356</v>
      </c>
      <c r="Z54" s="9">
        <v>104737.5</v>
      </c>
      <c r="AA54" s="9">
        <v>112480</v>
      </c>
      <c r="AB54" s="9">
        <v>133653.6</v>
      </c>
      <c r="AC54" s="9">
        <v>127300</v>
      </c>
      <c r="AD54" s="9">
        <v>142785</v>
      </c>
      <c r="AE54" s="9">
        <v>150480</v>
      </c>
      <c r="AF54" s="9">
        <v>116166</v>
      </c>
      <c r="AG54" s="9">
        <v>13851</v>
      </c>
      <c r="AH54" s="9">
        <v>47500</v>
      </c>
      <c r="AI54" s="9">
        <v>1292.76</v>
      </c>
      <c r="AJ54" s="9">
        <v>6925.5</v>
      </c>
      <c r="AK54" s="9">
        <v>128630</v>
      </c>
      <c r="AL54" s="9">
        <v>142785</v>
      </c>
      <c r="AM54" s="9">
        <v>149872</v>
      </c>
      <c r="AN54" s="9">
        <v>112480</v>
      </c>
      <c r="AO54" s="9">
        <v>117135</v>
      </c>
      <c r="AP54" s="9">
        <v>131100</v>
      </c>
      <c r="AQ54" s="9">
        <v>157700</v>
      </c>
      <c r="AR54" s="9">
        <v>111150</v>
      </c>
      <c r="AS54" s="9">
        <v>158000</v>
      </c>
      <c r="AT54" s="9">
        <v>174249</v>
      </c>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row>
    <row r="55" customHeight="true" spans="1:166">
      <c r="A55" s="5">
        <v>52</v>
      </c>
      <c r="B55" s="6" t="str">
        <f>'明细表（有误0'!C55</f>
        <v>天津京路发科技发展有限公司</v>
      </c>
      <c r="D55" s="9"/>
      <c r="E55" s="12">
        <f t="shared" si="2"/>
        <v>16227</v>
      </c>
      <c r="F55" s="9">
        <v>9933</v>
      </c>
      <c r="G55" s="9">
        <v>6294</v>
      </c>
      <c r="H55" s="9"/>
      <c r="I55" s="9"/>
      <c r="J55" s="9"/>
      <c r="K55" s="9"/>
      <c r="L55" s="9"/>
      <c r="M55" s="9"/>
      <c r="N55" s="9"/>
      <c r="O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row>
    <row r="56" customHeight="true" spans="1:166">
      <c r="A56" s="5">
        <v>53</v>
      </c>
      <c r="B56" s="6" t="str">
        <f>'明细表（有误0'!C56</f>
        <v>天津唯品会供应链管理有限公司</v>
      </c>
      <c r="D56" s="9"/>
      <c r="E56" s="12"/>
      <c r="F56" s="9"/>
      <c r="G56" s="9"/>
      <c r="H56" s="9"/>
      <c r="I56" s="9"/>
      <c r="J56" s="9"/>
      <c r="K56" s="9"/>
      <c r="L56" s="9"/>
      <c r="M56" s="9"/>
      <c r="N56" s="9"/>
      <c r="O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row>
    <row r="57" customHeight="true" spans="1:166">
      <c r="A57" s="5">
        <v>54</v>
      </c>
      <c r="B57" s="6" t="str">
        <f>'明细表（有误0'!C57</f>
        <v>天津市诺熠烜进出口贸易有限公司</v>
      </c>
      <c r="D57" s="9"/>
      <c r="E57" s="12">
        <f t="shared" si="2"/>
        <v>153988.32</v>
      </c>
      <c r="F57" s="9">
        <v>1683.24</v>
      </c>
      <c r="G57" s="9">
        <v>27025.92</v>
      </c>
      <c r="H57" s="9">
        <v>965.24</v>
      </c>
      <c r="I57" s="9">
        <v>55271.76</v>
      </c>
      <c r="J57" s="9">
        <v>6486</v>
      </c>
      <c r="K57" s="9">
        <v>1050.24</v>
      </c>
      <c r="L57" s="9">
        <v>34742.8</v>
      </c>
      <c r="M57" s="9">
        <v>7168.32</v>
      </c>
      <c r="N57" s="9">
        <v>9855</v>
      </c>
      <c r="O57" s="9">
        <v>3420</v>
      </c>
      <c r="P57" s="9">
        <v>3585</v>
      </c>
      <c r="Q57" s="9">
        <v>2734.8</v>
      </c>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row>
    <row r="58" customHeight="true" spans="1:166">
      <c r="A58" s="5">
        <v>55</v>
      </c>
      <c r="B58" s="6" t="str">
        <f>'明细表（有误0'!C58</f>
        <v>天津盛泰国际贸易有限公司</v>
      </c>
      <c r="D58" s="9"/>
      <c r="E58" s="12">
        <f t="shared" si="2"/>
        <v>202188</v>
      </c>
      <c r="F58" s="9">
        <v>16200</v>
      </c>
      <c r="G58" s="9">
        <v>4740</v>
      </c>
      <c r="H58" s="9">
        <v>900</v>
      </c>
      <c r="I58" s="9">
        <v>6075</v>
      </c>
      <c r="J58" s="9">
        <v>1185</v>
      </c>
      <c r="K58" s="9">
        <v>16305</v>
      </c>
      <c r="L58" s="9">
        <v>1305</v>
      </c>
      <c r="M58" s="9">
        <v>10325</v>
      </c>
      <c r="N58" s="9">
        <v>2875</v>
      </c>
      <c r="O58" s="9">
        <v>3600</v>
      </c>
      <c r="P58" s="9">
        <v>1250</v>
      </c>
      <c r="Q58" s="9">
        <v>4600</v>
      </c>
      <c r="R58" s="9">
        <v>913</v>
      </c>
      <c r="S58" s="9">
        <v>19500</v>
      </c>
      <c r="T58" s="9">
        <v>51830</v>
      </c>
      <c r="U58" s="9">
        <v>20590</v>
      </c>
      <c r="V58" s="9">
        <v>29955</v>
      </c>
      <c r="W58" s="9">
        <v>10040</v>
      </c>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row>
    <row r="59" customHeight="true" spans="1:166">
      <c r="A59" s="5">
        <v>56</v>
      </c>
      <c r="B59" s="6" t="str">
        <f>'明细表（有误0'!C59</f>
        <v>天津利兴国际贸易有限公司</v>
      </c>
      <c r="D59" s="9"/>
      <c r="E59" s="12">
        <f t="shared" si="2"/>
        <v>0</v>
      </c>
      <c r="F59" s="9"/>
      <c r="G59" s="9"/>
      <c r="H59" s="9"/>
      <c r="I59" s="9"/>
      <c r="J59" s="9"/>
      <c r="K59" s="9"/>
      <c r="L59" s="9"/>
      <c r="M59" s="9"/>
      <c r="N59" s="9"/>
      <c r="O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row>
    <row r="60" customHeight="true" spans="1:166">
      <c r="A60" s="5">
        <v>57</v>
      </c>
      <c r="B60" s="6" t="str">
        <f>'明细表（有误0'!C60</f>
        <v>天津达飞新材料科技有限公司</v>
      </c>
      <c r="D60" s="9"/>
      <c r="E60" s="12">
        <f t="shared" si="2"/>
        <v>568703.98</v>
      </c>
      <c r="F60" s="9">
        <v>175672.39</v>
      </c>
      <c r="G60" s="9">
        <v>82297.6</v>
      </c>
      <c r="H60" s="9">
        <v>79432.92</v>
      </c>
      <c r="I60" s="9">
        <v>88357.41</v>
      </c>
      <c r="J60" s="9">
        <v>116827.71</v>
      </c>
      <c r="K60" s="9">
        <v>26115.95</v>
      </c>
      <c r="L60" s="9"/>
      <c r="M60" s="9"/>
      <c r="N60" s="9"/>
      <c r="O60" s="9"/>
      <c r="AA60" s="8"/>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row>
    <row r="61" customHeight="true" spans="23:81">
      <c r="W61" s="8"/>
      <c r="AA61" s="8"/>
      <c r="BG61" s="9"/>
      <c r="BH61" s="9"/>
      <c r="BI61" s="9"/>
      <c r="BJ61" s="9"/>
      <c r="BK61" s="9"/>
      <c r="BL61" s="9"/>
      <c r="BM61" s="9"/>
      <c r="BN61" s="9"/>
      <c r="BO61" s="9"/>
      <c r="BP61" s="9"/>
      <c r="BQ61" s="9"/>
      <c r="BR61" s="9"/>
      <c r="BS61" s="9"/>
      <c r="BT61" s="9"/>
      <c r="BU61" s="9"/>
      <c r="BV61" s="9"/>
      <c r="BW61" s="9"/>
      <c r="BX61" s="9"/>
      <c r="BY61" s="9"/>
      <c r="BZ61" s="9"/>
      <c r="CA61" s="9"/>
      <c r="CB61" s="9"/>
      <c r="CC61" s="9"/>
    </row>
    <row r="62" customHeight="true" spans="4:81">
      <c r="D62" s="9">
        <f>E62*'11.24(报告金额'!K2</f>
        <v>696657309.313205</v>
      </c>
      <c r="E62" s="14">
        <f>SUM(E2:E60)-180</f>
        <v>107840019.398029</v>
      </c>
      <c r="W62" s="8"/>
      <c r="AA62" s="8"/>
      <c r="BG62" s="9"/>
      <c r="BH62" s="9"/>
      <c r="BI62" s="9"/>
      <c r="BJ62" s="9"/>
      <c r="BK62" s="9"/>
      <c r="BL62" s="9"/>
      <c r="BM62" s="9"/>
      <c r="BN62" s="9"/>
      <c r="BO62" s="9"/>
      <c r="BP62" s="9"/>
      <c r="BQ62" s="9"/>
      <c r="BR62" s="9"/>
      <c r="BS62" s="9"/>
      <c r="BT62" s="9"/>
      <c r="BU62" s="9"/>
      <c r="BV62" s="9"/>
      <c r="BW62" s="9"/>
      <c r="BX62" s="9"/>
      <c r="BY62" s="9"/>
      <c r="BZ62" s="9"/>
      <c r="CA62" s="9"/>
      <c r="CB62" s="9"/>
      <c r="CC62" s="9"/>
    </row>
    <row r="63" customHeight="true" spans="4:81">
      <c r="D63" s="9">
        <f>E63*'11.24(报告金额'!N2</f>
        <v>15861723.47612</v>
      </c>
      <c r="E63" s="14">
        <f>180+Z15</f>
        <v>2063662.6</v>
      </c>
      <c r="W63" s="8"/>
      <c r="AA63" s="8"/>
      <c r="BG63" s="9"/>
      <c r="BH63" s="9"/>
      <c r="BI63" s="9"/>
      <c r="BJ63" s="9"/>
      <c r="BK63" s="9"/>
      <c r="BL63" s="9"/>
      <c r="BM63" s="9"/>
      <c r="BN63" s="9"/>
      <c r="BO63" s="9"/>
      <c r="BP63" s="9"/>
      <c r="BQ63" s="9"/>
      <c r="BR63" s="9"/>
      <c r="BS63" s="9"/>
      <c r="BT63" s="9"/>
      <c r="BU63" s="9"/>
      <c r="BV63" s="9"/>
      <c r="BW63" s="9"/>
      <c r="BX63" s="9"/>
      <c r="BY63" s="9"/>
      <c r="BZ63" s="9"/>
      <c r="CA63" s="9"/>
      <c r="CB63" s="9"/>
      <c r="CC63" s="9"/>
    </row>
    <row r="64" customHeight="true" spans="4:81">
      <c r="D64" s="10">
        <f>SUM(D62:D63)</f>
        <v>712519032.789325</v>
      </c>
      <c r="E64" s="14"/>
      <c r="F64" s="15"/>
      <c r="W64" s="8"/>
      <c r="AA64" s="8"/>
      <c r="BG64" s="9"/>
      <c r="BH64" s="9"/>
      <c r="BI64" s="9"/>
      <c r="BJ64" s="9"/>
      <c r="BK64" s="9"/>
      <c r="BL64" s="9"/>
      <c r="BM64" s="9"/>
      <c r="BN64" s="9"/>
      <c r="BO64" s="9"/>
      <c r="BP64" s="9"/>
      <c r="BQ64" s="9"/>
      <c r="BR64" s="9"/>
      <c r="BS64" s="9"/>
      <c r="BT64" s="9"/>
      <c r="BU64" s="9"/>
      <c r="BV64" s="9"/>
      <c r="BW64" s="9"/>
      <c r="BX64" s="9"/>
      <c r="BY64" s="9"/>
      <c r="BZ64" s="9"/>
      <c r="CA64" s="9"/>
      <c r="CB64" s="9"/>
      <c r="CC64" s="9"/>
    </row>
    <row r="65" customHeight="true" spans="4:81">
      <c r="D65" s="10">
        <f>D64-'11.24(报告金额'!N62</f>
        <v>-0.0127348899841309</v>
      </c>
      <c r="E65" s="14"/>
      <c r="F65" s="17"/>
      <c r="W65" s="8"/>
      <c r="AA65" s="8"/>
      <c r="BG65" s="9"/>
      <c r="BH65" s="9"/>
      <c r="BI65" s="9"/>
      <c r="BJ65" s="9"/>
      <c r="BK65" s="9"/>
      <c r="BL65" s="9"/>
      <c r="BM65" s="9"/>
      <c r="BN65" s="9"/>
      <c r="BO65" s="9"/>
      <c r="BP65" s="9"/>
      <c r="BQ65" s="9"/>
      <c r="BR65" s="9"/>
      <c r="BS65" s="9"/>
      <c r="BT65" s="9"/>
      <c r="BU65" s="9"/>
      <c r="BV65" s="9"/>
      <c r="BW65" s="9"/>
      <c r="BX65" s="9"/>
      <c r="BY65" s="9"/>
      <c r="BZ65" s="9"/>
      <c r="CA65" s="9"/>
      <c r="CB65" s="9"/>
      <c r="CC65" s="9"/>
    </row>
    <row r="66" customHeight="true" spans="6:81">
      <c r="F66" s="15"/>
      <c r="W66" s="8"/>
      <c r="AA66" s="8"/>
      <c r="BG66" s="9"/>
      <c r="BH66" s="9"/>
      <c r="BI66" s="9"/>
      <c r="BJ66" s="9"/>
      <c r="BK66" s="9"/>
      <c r="BL66" s="9"/>
      <c r="BM66" s="9"/>
      <c r="BN66" s="9"/>
      <c r="BO66" s="9"/>
      <c r="BP66" s="9"/>
      <c r="BQ66" s="9"/>
      <c r="BR66" s="9"/>
      <c r="BS66" s="9"/>
      <c r="BT66" s="9"/>
      <c r="BU66" s="9"/>
      <c r="BV66" s="9"/>
      <c r="BW66" s="9"/>
      <c r="BX66" s="9"/>
      <c r="BY66" s="9"/>
      <c r="BZ66" s="9"/>
      <c r="CA66" s="9"/>
      <c r="CB66" s="9"/>
      <c r="CC66" s="9"/>
    </row>
    <row r="67" customHeight="true" spans="1:81">
      <c r="A67" s="8"/>
      <c r="B67" s="8"/>
      <c r="C67" s="8"/>
      <c r="D67" s="8"/>
      <c r="E67" s="17"/>
      <c r="F67" s="15"/>
      <c r="P67" s="8"/>
      <c r="Q67" s="8"/>
      <c r="R67" s="8"/>
      <c r="S67" s="8"/>
      <c r="T67" s="8"/>
      <c r="U67" s="8"/>
      <c r="V67" s="8"/>
      <c r="W67" s="8"/>
      <c r="AA67" s="8"/>
      <c r="BG67" s="9"/>
      <c r="BH67" s="9"/>
      <c r="BI67" s="9"/>
      <c r="BJ67" s="9"/>
      <c r="BK67" s="9"/>
      <c r="BL67" s="9"/>
      <c r="BM67" s="9"/>
      <c r="BN67" s="9"/>
      <c r="BO67" s="9"/>
      <c r="BP67" s="9"/>
      <c r="BQ67" s="9"/>
      <c r="BR67" s="9"/>
      <c r="BS67" s="9"/>
      <c r="BT67" s="9"/>
      <c r="BU67" s="9"/>
      <c r="BV67" s="9"/>
      <c r="BW67" s="9"/>
      <c r="BX67" s="9"/>
      <c r="BY67" s="9"/>
      <c r="BZ67" s="9"/>
      <c r="CA67" s="9"/>
      <c r="CB67" s="9"/>
      <c r="CC67" s="9"/>
    </row>
    <row r="68" customHeight="true" spans="1:81">
      <c r="A68" s="8"/>
      <c r="B68" s="8"/>
      <c r="C68" s="8"/>
      <c r="D68" s="8"/>
      <c r="E68" s="8"/>
      <c r="P68" s="8"/>
      <c r="Q68" s="8"/>
      <c r="R68" s="8"/>
      <c r="S68" s="8"/>
      <c r="T68" s="8"/>
      <c r="U68" s="8"/>
      <c r="V68" s="8"/>
      <c r="W68" s="8"/>
      <c r="AA68" s="8"/>
      <c r="BG68" s="9"/>
      <c r="BH68" s="9"/>
      <c r="BI68" s="9"/>
      <c r="BJ68" s="9"/>
      <c r="BK68" s="9"/>
      <c r="BL68" s="9"/>
      <c r="BM68" s="9"/>
      <c r="BN68" s="9"/>
      <c r="BO68" s="9"/>
      <c r="BP68" s="9"/>
      <c r="BQ68" s="9"/>
      <c r="BR68" s="9"/>
      <c r="BS68" s="9"/>
      <c r="BT68" s="9"/>
      <c r="BU68" s="9"/>
      <c r="BV68" s="9"/>
      <c r="BW68" s="9"/>
      <c r="BX68" s="9"/>
      <c r="BY68" s="9"/>
      <c r="BZ68" s="9"/>
      <c r="CA68" s="9"/>
      <c r="CB68" s="9"/>
      <c r="CC68" s="9"/>
    </row>
    <row r="69" customHeight="true" spans="1:81">
      <c r="A69" s="8"/>
      <c r="B69" s="8"/>
      <c r="C69" s="8"/>
      <c r="D69" s="8"/>
      <c r="E69" s="8"/>
      <c r="P69" s="8"/>
      <c r="Q69" s="8"/>
      <c r="R69" s="8"/>
      <c r="S69" s="8"/>
      <c r="T69" s="8"/>
      <c r="U69" s="8"/>
      <c r="V69" s="8"/>
      <c r="W69" s="8"/>
      <c r="AA69" s="8"/>
      <c r="BG69" s="9"/>
      <c r="BH69" s="9"/>
      <c r="BI69" s="9"/>
      <c r="BJ69" s="9"/>
      <c r="BK69" s="9"/>
      <c r="BL69" s="9"/>
      <c r="BM69" s="9"/>
      <c r="BN69" s="9"/>
      <c r="BO69" s="9"/>
      <c r="BP69" s="9"/>
      <c r="BQ69" s="9"/>
      <c r="BR69" s="9"/>
      <c r="BS69" s="9"/>
      <c r="BT69" s="9"/>
      <c r="BU69" s="9"/>
      <c r="BV69" s="9"/>
      <c r="BW69" s="9"/>
      <c r="BX69" s="9"/>
      <c r="BY69" s="9"/>
      <c r="BZ69" s="9"/>
      <c r="CA69" s="9"/>
      <c r="CB69" s="9"/>
      <c r="CC69" s="9"/>
    </row>
    <row r="70" customHeight="true" spans="1:81">
      <c r="A70" s="8"/>
      <c r="B70" s="8"/>
      <c r="C70" s="8"/>
      <c r="D70" s="8"/>
      <c r="E70" s="8"/>
      <c r="P70" s="8"/>
      <c r="Q70" s="8"/>
      <c r="R70" s="8"/>
      <c r="S70" s="8"/>
      <c r="T70" s="8"/>
      <c r="U70" s="8"/>
      <c r="V70" s="8"/>
      <c r="BG70" s="9"/>
      <c r="BH70" s="9"/>
      <c r="BI70" s="9"/>
      <c r="BJ70" s="9"/>
      <c r="BK70" s="9"/>
      <c r="BL70" s="9"/>
      <c r="BM70" s="9"/>
      <c r="BN70" s="9"/>
      <c r="BO70" s="9"/>
      <c r="BP70" s="9"/>
      <c r="BQ70" s="9"/>
      <c r="BR70" s="9"/>
      <c r="BS70" s="9"/>
      <c r="BT70" s="9"/>
      <c r="BU70" s="9"/>
      <c r="BV70" s="9"/>
      <c r="BW70" s="9"/>
      <c r="BX70" s="9"/>
      <c r="BY70" s="9"/>
      <c r="BZ70" s="9"/>
      <c r="CA70" s="9"/>
      <c r="CB70" s="9"/>
      <c r="CC70" s="9"/>
    </row>
    <row r="71" customHeight="true" spans="1:81">
      <c r="A71" s="8"/>
      <c r="B71" s="8"/>
      <c r="C71" s="8"/>
      <c r="D71" s="8"/>
      <c r="E71" s="8"/>
      <c r="P71" s="8"/>
      <c r="Q71" s="8"/>
      <c r="R71" s="8"/>
      <c r="S71" s="8"/>
      <c r="T71" s="8"/>
      <c r="U71" s="8"/>
      <c r="V71" s="8"/>
      <c r="BG71" s="9"/>
      <c r="BH71" s="9"/>
      <c r="BI71" s="9"/>
      <c r="BJ71" s="9"/>
      <c r="BK71" s="9"/>
      <c r="BL71" s="9"/>
      <c r="BM71" s="9"/>
      <c r="BN71" s="9"/>
      <c r="BO71" s="9"/>
      <c r="BP71" s="9"/>
      <c r="BQ71" s="9"/>
      <c r="BR71" s="9"/>
      <c r="BS71" s="9"/>
      <c r="BT71" s="9"/>
      <c r="BU71" s="9"/>
      <c r="BV71" s="9"/>
      <c r="BW71" s="9"/>
      <c r="BX71" s="9"/>
      <c r="BY71" s="9"/>
      <c r="BZ71" s="9"/>
      <c r="CA71" s="9"/>
      <c r="CB71" s="9"/>
      <c r="CC71" s="9"/>
    </row>
    <row r="72" customHeight="true" spans="1:81">
      <c r="A72" s="8"/>
      <c r="B72" s="8"/>
      <c r="C72" s="8"/>
      <c r="D72" s="8"/>
      <c r="E72" s="8"/>
      <c r="P72" s="8"/>
      <c r="Q72" s="8"/>
      <c r="R72" s="8"/>
      <c r="S72" s="8"/>
      <c r="T72" s="8"/>
      <c r="U72" s="8"/>
      <c r="V72" s="8"/>
      <c r="BG72" s="9"/>
      <c r="BH72" s="9"/>
      <c r="BI72" s="9"/>
      <c r="BJ72" s="9"/>
      <c r="BK72" s="9"/>
      <c r="BL72" s="9"/>
      <c r="BM72" s="9"/>
      <c r="BN72" s="9"/>
      <c r="BO72" s="9"/>
      <c r="BP72" s="9"/>
      <c r="BQ72" s="9"/>
      <c r="BR72" s="9"/>
      <c r="BS72" s="9"/>
      <c r="BT72" s="9"/>
      <c r="BU72" s="9"/>
      <c r="BV72" s="9"/>
      <c r="BW72" s="9"/>
      <c r="BX72" s="9"/>
      <c r="BY72" s="9"/>
      <c r="BZ72" s="9"/>
      <c r="CA72" s="9"/>
      <c r="CB72" s="9"/>
      <c r="CC72" s="9"/>
    </row>
    <row r="73" customHeight="true" spans="1:81">
      <c r="A73" s="8"/>
      <c r="B73" s="8"/>
      <c r="C73" s="8"/>
      <c r="D73" s="8"/>
      <c r="E73" s="8"/>
      <c r="P73" s="8"/>
      <c r="Q73" s="8"/>
      <c r="R73" s="8"/>
      <c r="S73" s="8"/>
      <c r="T73" s="8"/>
      <c r="U73" s="8"/>
      <c r="V73" s="8"/>
      <c r="BG73" s="9"/>
      <c r="BH73" s="9"/>
      <c r="BI73" s="9"/>
      <c r="BJ73" s="9"/>
      <c r="BK73" s="9"/>
      <c r="BL73" s="9"/>
      <c r="BM73" s="9"/>
      <c r="BN73" s="9"/>
      <c r="BO73" s="9"/>
      <c r="BP73" s="9"/>
      <c r="BQ73" s="9"/>
      <c r="BR73" s="9"/>
      <c r="BS73" s="9"/>
      <c r="BT73" s="9"/>
      <c r="BU73" s="9"/>
      <c r="BV73" s="9"/>
      <c r="BW73" s="9"/>
      <c r="BX73" s="9"/>
      <c r="BY73" s="9"/>
      <c r="BZ73" s="9"/>
      <c r="CA73" s="9"/>
      <c r="CB73" s="9"/>
      <c r="CC73" s="9"/>
    </row>
    <row r="74" customHeight="true" spans="1:81">
      <c r="A74" s="8"/>
      <c r="B74" s="8"/>
      <c r="C74" s="8"/>
      <c r="D74" s="8"/>
      <c r="E74" s="8"/>
      <c r="P74" s="8"/>
      <c r="Q74" s="8"/>
      <c r="R74" s="8"/>
      <c r="S74" s="8"/>
      <c r="T74" s="8"/>
      <c r="U74" s="8"/>
      <c r="V74" s="8"/>
      <c r="BG74" s="9"/>
      <c r="BH74" s="9"/>
      <c r="BI74" s="9"/>
      <c r="BJ74" s="9"/>
      <c r="BK74" s="9"/>
      <c r="BL74" s="9"/>
      <c r="BM74" s="9"/>
      <c r="BN74" s="9"/>
      <c r="BO74" s="9"/>
      <c r="BP74" s="9"/>
      <c r="BQ74" s="9"/>
      <c r="BR74" s="9"/>
      <c r="BS74" s="9"/>
      <c r="BT74" s="9"/>
      <c r="BU74" s="9"/>
      <c r="BV74" s="9"/>
      <c r="BW74" s="9"/>
      <c r="BX74" s="9"/>
      <c r="BY74" s="9"/>
      <c r="BZ74" s="9"/>
      <c r="CA74" s="9"/>
      <c r="CB74" s="9"/>
      <c r="CC74" s="9"/>
    </row>
  </sheetData>
  <conditionalFormatting sqref="$A14:$XFD14">
    <cfRule type="duplicateValues" dxfId="0" priority="9"/>
  </conditionalFormatting>
  <conditionalFormatting sqref="$A1:$XFD1048576">
    <cfRule type="cellIs" dxfId="0" priority="1" operator="lessThan">
      <formula>0</formula>
    </cfRule>
  </conditionalFormatting>
  <conditionalFormatting sqref="$A8:$XFD8 $A10:$XFD11 E12:E14">
    <cfRule type="duplicateValues" dxfId="0" priority="7"/>
  </conditionalFormatting>
  <conditionalFormatting sqref="$A11:$XFD11 E12:E14">
    <cfRule type="duplicateValues" dxfId="0" priority="8"/>
  </conditionalFormatting>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e13</vt:lpstr>
      <vt:lpstr>2022年度跨境电商综合试验区服务体系建设项目资金拨付明细表</vt:lpstr>
      <vt:lpstr>区域代码</vt:lpstr>
      <vt:lpstr>问题</vt:lpstr>
      <vt:lpstr>明细表（有误0</vt:lpstr>
      <vt:lpstr>11.24(报告金额</vt:lpstr>
      <vt:lpstr>票据清单</vt:lpstr>
      <vt:lpstr>35清单</vt:lpstr>
      <vt:lpstr>报关单</vt:lpstr>
      <vt:lpstr>截图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2006-09-19T00:00:00Z</dcterms:created>
  <cp:lastPrinted>2022-12-31T02:50:00Z</cp:lastPrinted>
  <dcterms:modified xsi:type="dcterms:W3CDTF">2023-07-11T08:56:18Z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D3D4C853F53B45E08982DFC9F08335D2</vt:lpwstr>
  </property>
  <property fmtid="{D5CDD505-2E9C-101B-9397-08002B2CF9AE}" pid="3" name="KSOProductBuildVer">
    <vt:lpwstr>2052-11.8.2.10290</vt:lpwstr>
  </property>
</Properties>
</file>